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ilday.BIOFRONTERA\Desktop\"/>
    </mc:Choice>
  </mc:AlternateContent>
  <workbookProtection workbookPassword="D86F" lockStructure="1"/>
  <bookViews>
    <workbookView xWindow="0" yWindow="0" windowWidth="24000" windowHeight="10320" tabRatio="264"/>
  </bookViews>
  <sheets>
    <sheet name="AKÜ-SOLAR-TÜKETICI-CETVELLERİ" sheetId="1" r:id="rId1"/>
  </sheets>
  <calcPr calcId="152511" iterateDelta="1E-4"/>
</workbook>
</file>

<file path=xl/calcChain.xml><?xml version="1.0" encoding="utf-8"?>
<calcChain xmlns="http://schemas.openxmlformats.org/spreadsheetml/2006/main">
  <c r="D8" i="1" l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8" i="1"/>
  <c r="F18" i="1" s="1"/>
  <c r="D19" i="1"/>
  <c r="F19" i="1" s="1"/>
  <c r="D20" i="1"/>
  <c r="F20" i="1" s="1"/>
  <c r="D21" i="1"/>
  <c r="F21" i="1" s="1"/>
  <c r="D22" i="1"/>
  <c r="F22" i="1" s="1"/>
  <c r="D24" i="1"/>
  <c r="F24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9" i="1"/>
  <c r="F39" i="1" s="1"/>
  <c r="D40" i="1"/>
  <c r="F40" i="1" s="1"/>
  <c r="D46" i="1"/>
  <c r="C48" i="1"/>
  <c r="D48" i="1" s="1"/>
  <c r="C49" i="1"/>
  <c r="D49" i="1"/>
  <c r="C50" i="1"/>
  <c r="D50" i="1" s="1"/>
  <c r="C51" i="1"/>
  <c r="D51" i="1"/>
  <c r="C52" i="1"/>
  <c r="D52" i="1" s="1"/>
  <c r="C53" i="1"/>
  <c r="D53" i="1"/>
  <c r="C54" i="1"/>
  <c r="D54" i="1" s="1"/>
  <c r="C55" i="1"/>
  <c r="D55" i="1"/>
  <c r="C56" i="1"/>
  <c r="D56" i="1" s="1"/>
  <c r="C57" i="1"/>
  <c r="D57" i="1"/>
  <c r="C58" i="1"/>
  <c r="D58" i="1" s="1"/>
  <c r="C59" i="1"/>
  <c r="D59" i="1"/>
  <c r="C60" i="1"/>
  <c r="D60" i="1" s="1"/>
  <c r="C61" i="1"/>
  <c r="D61" i="1"/>
  <c r="C62" i="1"/>
  <c r="D62" i="1" s="1"/>
  <c r="B108" i="1"/>
  <c r="C108" i="1"/>
  <c r="D108" i="1"/>
  <c r="E108" i="1"/>
  <c r="F108" i="1"/>
  <c r="G108" i="1"/>
  <c r="H108" i="1"/>
  <c r="I108" i="1"/>
  <c r="J108" i="1"/>
  <c r="K108" i="1"/>
  <c r="B109" i="1"/>
  <c r="C109" i="1"/>
  <c r="D109" i="1"/>
  <c r="E109" i="1"/>
  <c r="F109" i="1"/>
  <c r="G109" i="1"/>
  <c r="H109" i="1"/>
  <c r="I109" i="1"/>
  <c r="J109" i="1"/>
  <c r="K109" i="1"/>
  <c r="B110" i="1"/>
  <c r="C110" i="1"/>
  <c r="D110" i="1"/>
  <c r="E110" i="1"/>
  <c r="F110" i="1"/>
  <c r="G110" i="1"/>
  <c r="H110" i="1"/>
  <c r="I110" i="1"/>
  <c r="J110" i="1"/>
  <c r="K110" i="1"/>
  <c r="B111" i="1"/>
  <c r="C111" i="1"/>
  <c r="D111" i="1"/>
  <c r="E111" i="1"/>
  <c r="F111" i="1"/>
  <c r="G111" i="1"/>
  <c r="H111" i="1"/>
  <c r="I111" i="1"/>
  <c r="J111" i="1"/>
  <c r="K111" i="1"/>
  <c r="B112" i="1"/>
  <c r="C112" i="1"/>
  <c r="D112" i="1"/>
  <c r="E112" i="1"/>
  <c r="F112" i="1"/>
  <c r="G112" i="1"/>
  <c r="H112" i="1"/>
  <c r="I112" i="1"/>
  <c r="J112" i="1"/>
  <c r="K112" i="1"/>
  <c r="B113" i="1"/>
  <c r="C113" i="1"/>
  <c r="D113" i="1"/>
  <c r="E113" i="1"/>
  <c r="F113" i="1"/>
  <c r="G113" i="1"/>
  <c r="H113" i="1"/>
  <c r="I113" i="1"/>
  <c r="J113" i="1"/>
  <c r="K113" i="1"/>
  <c r="B114" i="1"/>
  <c r="C114" i="1"/>
  <c r="D114" i="1"/>
  <c r="E114" i="1"/>
  <c r="F114" i="1"/>
  <c r="G114" i="1"/>
  <c r="H114" i="1"/>
  <c r="I114" i="1"/>
  <c r="J114" i="1"/>
  <c r="K114" i="1"/>
  <c r="B115" i="1"/>
  <c r="C115" i="1"/>
  <c r="D115" i="1"/>
  <c r="E115" i="1"/>
  <c r="F115" i="1"/>
  <c r="G115" i="1"/>
  <c r="H115" i="1"/>
  <c r="I115" i="1"/>
  <c r="J115" i="1"/>
  <c r="K115" i="1"/>
  <c r="B116" i="1"/>
  <c r="C116" i="1"/>
  <c r="D116" i="1"/>
  <c r="E116" i="1"/>
  <c r="F116" i="1"/>
  <c r="G116" i="1"/>
  <c r="H116" i="1"/>
  <c r="I116" i="1"/>
  <c r="J116" i="1"/>
  <c r="K116" i="1"/>
  <c r="B117" i="1"/>
  <c r="C117" i="1"/>
  <c r="D117" i="1"/>
  <c r="E117" i="1"/>
  <c r="F117" i="1"/>
  <c r="G117" i="1"/>
  <c r="H117" i="1"/>
  <c r="I117" i="1"/>
  <c r="J117" i="1"/>
  <c r="K117" i="1"/>
  <c r="B118" i="1"/>
  <c r="C118" i="1"/>
  <c r="D118" i="1"/>
  <c r="E118" i="1"/>
  <c r="F118" i="1"/>
  <c r="G118" i="1"/>
  <c r="H118" i="1"/>
  <c r="I118" i="1"/>
  <c r="J118" i="1"/>
  <c r="K118" i="1"/>
  <c r="B119" i="1"/>
  <c r="C119" i="1"/>
  <c r="D119" i="1"/>
  <c r="E119" i="1"/>
  <c r="F119" i="1"/>
  <c r="G119" i="1"/>
  <c r="H119" i="1"/>
  <c r="I119" i="1"/>
  <c r="J119" i="1"/>
  <c r="K119" i="1"/>
  <c r="C127" i="1"/>
  <c r="E127" i="1"/>
  <c r="G127" i="1"/>
  <c r="I127" i="1"/>
  <c r="K127" i="1"/>
  <c r="C128" i="1"/>
  <c r="E128" i="1"/>
  <c r="G128" i="1"/>
  <c r="I128" i="1"/>
  <c r="K128" i="1"/>
  <c r="C129" i="1"/>
  <c r="E129" i="1"/>
  <c r="G129" i="1"/>
  <c r="I129" i="1"/>
  <c r="K129" i="1"/>
  <c r="C130" i="1"/>
  <c r="E130" i="1"/>
  <c r="G130" i="1"/>
  <c r="I130" i="1"/>
  <c r="K130" i="1"/>
  <c r="C131" i="1"/>
  <c r="E131" i="1"/>
  <c r="G131" i="1"/>
  <c r="I131" i="1"/>
  <c r="K131" i="1"/>
  <c r="C132" i="1"/>
  <c r="E132" i="1"/>
  <c r="G132" i="1"/>
  <c r="I132" i="1"/>
  <c r="K132" i="1"/>
  <c r="C133" i="1"/>
  <c r="E133" i="1"/>
  <c r="G133" i="1"/>
  <c r="I133" i="1"/>
  <c r="K133" i="1"/>
  <c r="C134" i="1"/>
  <c r="E134" i="1"/>
  <c r="G134" i="1"/>
  <c r="I134" i="1"/>
  <c r="K134" i="1"/>
  <c r="C135" i="1"/>
  <c r="E135" i="1"/>
  <c r="G135" i="1"/>
  <c r="I135" i="1"/>
  <c r="K135" i="1"/>
  <c r="C136" i="1"/>
  <c r="E136" i="1"/>
  <c r="G136" i="1"/>
  <c r="I136" i="1"/>
  <c r="K136" i="1"/>
  <c r="C137" i="1"/>
  <c r="E137" i="1"/>
  <c r="G137" i="1"/>
  <c r="I137" i="1"/>
  <c r="K137" i="1"/>
  <c r="C138" i="1"/>
  <c r="E138" i="1"/>
  <c r="G138" i="1"/>
  <c r="I138" i="1"/>
  <c r="K138" i="1"/>
  <c r="F41" i="1" l="1"/>
  <c r="E46" i="1" l="1"/>
  <c r="E51" i="1"/>
  <c r="E55" i="1"/>
  <c r="E59" i="1"/>
  <c r="E50" i="1"/>
  <c r="E54" i="1"/>
  <c r="E58" i="1"/>
  <c r="E62" i="1"/>
  <c r="E48" i="1"/>
  <c r="E52" i="1"/>
  <c r="E56" i="1"/>
  <c r="E60" i="1"/>
  <c r="E45" i="1"/>
  <c r="E49" i="1"/>
  <c r="E53" i="1"/>
  <c r="E57" i="1"/>
  <c r="E61" i="1"/>
</calcChain>
</file>

<file path=xl/sharedStrings.xml><?xml version="1.0" encoding="utf-8"?>
<sst xmlns="http://schemas.openxmlformats.org/spreadsheetml/2006/main" count="154" uniqueCount="116">
  <si>
    <t>K A R A V A N D A   A K I M   H E S A P   C E T V E L İ</t>
  </si>
  <si>
    <t>ELEKTRİK TÜKETİCİLERİ  (12 Volt )</t>
  </si>
  <si>
    <t>SAYI</t>
  </si>
  <si>
    <t>GÜÇ</t>
  </si>
  <si>
    <t>AKIM</t>
  </si>
  <si>
    <t>SAAT</t>
  </si>
  <si>
    <t>KAPASİTE</t>
  </si>
  <si>
    <t>n</t>
  </si>
  <si>
    <r>
      <t xml:space="preserve">X </t>
    </r>
    <r>
      <rPr>
        <b/>
        <sz val="9"/>
        <rFont val="Arial"/>
        <family val="2"/>
      </rPr>
      <t xml:space="preserve"> </t>
    </r>
    <r>
      <rPr>
        <b/>
        <sz val="10"/>
        <rFont val="Arial"/>
        <family val="2"/>
      </rPr>
      <t xml:space="preserve">     </t>
    </r>
    <r>
      <rPr>
        <b/>
        <sz val="10"/>
        <color indexed="12"/>
        <rFont val="Arial"/>
        <family val="2"/>
      </rPr>
      <t>W</t>
    </r>
  </si>
  <si>
    <t>A</t>
  </si>
  <si>
    <r>
      <t>X</t>
    </r>
    <r>
      <rPr>
        <b/>
        <sz val="13"/>
        <color indexed="56"/>
        <rFont val="Arial"/>
        <family val="2"/>
      </rPr>
      <t xml:space="preserve">      </t>
    </r>
    <r>
      <rPr>
        <b/>
        <sz val="13"/>
        <color indexed="12"/>
        <rFont val="Arial"/>
        <family val="2"/>
      </rPr>
      <t>h (%)</t>
    </r>
  </si>
  <si>
    <t xml:space="preserve"> A/h</t>
  </si>
  <si>
    <r>
      <t>BÜTÜN</t>
    </r>
    <r>
      <rPr>
        <u/>
        <sz val="10.5"/>
        <color indexed="10"/>
        <rFont val="Arial"/>
        <family val="2"/>
      </rPr>
      <t xml:space="preserve">  </t>
    </r>
    <r>
      <rPr>
        <b/>
        <u/>
        <sz val="10.5"/>
        <color indexed="10"/>
        <rFont val="Arial"/>
        <family val="2"/>
      </rPr>
      <t>KIRMIZI  SAYI ve TÜKETICILERI</t>
    </r>
    <r>
      <rPr>
        <sz val="10.5"/>
        <color indexed="10"/>
        <rFont val="Arial"/>
        <family val="2"/>
      </rPr>
      <t xml:space="preserve"> </t>
    </r>
    <r>
      <rPr>
        <sz val="10.5"/>
        <color indexed="8"/>
        <rFont val="Arial"/>
        <family val="2"/>
      </rPr>
      <t xml:space="preserve">SİSTEMİNİZE  GÖRE  DEĞIŞTİREBİLİRSİNİZ </t>
    </r>
    <r>
      <rPr>
        <b/>
        <i/>
        <sz val="10.5"/>
        <color indexed="8"/>
        <rFont val="Arial"/>
        <family val="2"/>
      </rPr>
      <t xml:space="preserve"> </t>
    </r>
    <r>
      <rPr>
        <b/>
        <sz val="10.5"/>
        <color indexed="8"/>
        <rFont val="Arial"/>
        <family val="2"/>
      </rPr>
      <t>!</t>
    </r>
  </si>
  <si>
    <t>AYDINLANMA</t>
  </si>
  <si>
    <t>LED Yaşam</t>
  </si>
  <si>
    <t>LED Okuma</t>
  </si>
  <si>
    <t xml:space="preserve">LED Mutfak </t>
  </si>
  <si>
    <t>LED Banyo</t>
  </si>
  <si>
    <t>LED Tente</t>
  </si>
  <si>
    <t>Spot</t>
  </si>
  <si>
    <t>Halojen lamba</t>
  </si>
  <si>
    <t>Diğer lambalar</t>
  </si>
  <si>
    <t>?</t>
  </si>
  <si>
    <t>EV ALETLERI</t>
  </si>
  <si>
    <t>Buzdolabı</t>
  </si>
  <si>
    <t xml:space="preserve">Su ısıtıcı </t>
  </si>
  <si>
    <t>Saç kurutma makinası</t>
  </si>
  <si>
    <t>Elektrik süpürgesi</t>
  </si>
  <si>
    <t>ALET VE EKIPMANLAR</t>
  </si>
  <si>
    <t>Isıtıcı / Kombı ısıtıcı</t>
  </si>
  <si>
    <t>Su ısıtıcısı (Boiler)</t>
  </si>
  <si>
    <t>Su pompası</t>
  </si>
  <si>
    <t>Davlumbaz / Havalandırma</t>
  </si>
  <si>
    <t>Televizyon / Reciver</t>
  </si>
  <si>
    <t>Gösterge / Su, gri su, mazot</t>
  </si>
  <si>
    <t>Tablet</t>
  </si>
  <si>
    <t>Vantilatör</t>
  </si>
  <si>
    <t>Gaz alarm cihazı</t>
  </si>
  <si>
    <t>Alarm</t>
  </si>
  <si>
    <t>Klima</t>
  </si>
  <si>
    <t>DVD</t>
  </si>
  <si>
    <t>Cep telefonu</t>
  </si>
  <si>
    <t>DIGER TÜKETİCİLER</t>
  </si>
  <si>
    <t xml:space="preserve">TOPLAM ENERJİ TÜKETİMİ  Ah/Gün  </t>
  </si>
  <si>
    <t>YASAM AKÜ KAPASITESI  (Ah)    Tahmini aktuel kapasite ?</t>
  </si>
  <si>
    <r>
      <t xml:space="preserve">    </t>
    </r>
    <r>
      <rPr>
        <b/>
        <sz val="10"/>
        <color indexed="12"/>
        <rFont val="Arial"/>
        <family val="2"/>
      </rPr>
      <t xml:space="preserve">                     YAŞAM AKÜSÜNÜN  %</t>
    </r>
  </si>
  <si>
    <t xml:space="preserve"> BOŞALMASI İÇİN GEÇEN GÜN SAYISI</t>
  </si>
  <si>
    <t>ENERJİ KAYNAĞI / KONUM</t>
  </si>
  <si>
    <t>KULLANIM ZAMANI     Saat (h) / ay</t>
  </si>
  <si>
    <t>GÜÇ (W)</t>
  </si>
  <si>
    <r>
      <t>AKIM</t>
    </r>
    <r>
      <rPr>
        <sz val="8"/>
        <rFont val="Arial"/>
        <family val="2"/>
      </rPr>
      <t xml:space="preserve"> (Ah)</t>
    </r>
  </si>
  <si>
    <t xml:space="preserve">ÖZERK  GÜN  Kendi kendine  yeterli gün </t>
  </si>
  <si>
    <r>
      <t xml:space="preserve">AKÜ </t>
    </r>
    <r>
      <rPr>
        <sz val="10"/>
        <rFont val="Arial"/>
        <family val="2"/>
      </rPr>
      <t>( tek başına ve tam dolu halde )</t>
    </r>
  </si>
  <si>
    <r>
      <t>Akü + Jenerator</t>
    </r>
    <r>
      <rPr>
        <b/>
        <sz val="10"/>
        <color indexed="53"/>
        <rFont val="Arial"/>
        <family val="2"/>
      </rPr>
      <t xml:space="preserve">     Honda EU 10Ai  </t>
    </r>
    <r>
      <rPr>
        <sz val="10"/>
        <color indexed="53"/>
        <rFont val="Arial"/>
        <family val="2"/>
      </rPr>
      <t xml:space="preserve"> </t>
    </r>
    <r>
      <rPr>
        <i/>
        <sz val="10"/>
        <color indexed="53"/>
        <rFont val="Arial"/>
        <family val="2"/>
      </rPr>
      <t>8,3Amper (-0,3A kayıp)   8Ax12V=96W</t>
    </r>
  </si>
  <si>
    <t>SOLAR PANELLERİN TOPLAM GÜCÜ          Watt →</t>
  </si>
  <si>
    <t xml:space="preserve">Akü + Solar       /  ANTALYA </t>
  </si>
  <si>
    <t>/ Temmuz</t>
  </si>
  <si>
    <r>
      <t>Akü + Solar</t>
    </r>
    <r>
      <rPr>
        <sz val="10"/>
        <color indexed="11"/>
        <rFont val="Arial"/>
        <family val="2"/>
      </rPr>
      <t xml:space="preserve">  </t>
    </r>
    <r>
      <rPr>
        <sz val="10"/>
        <color indexed="13"/>
        <rFont val="Arial"/>
        <family val="2"/>
      </rPr>
      <t xml:space="preserve"> </t>
    </r>
    <r>
      <rPr>
        <sz val="10"/>
        <rFont val="Arial"/>
        <family val="2"/>
      </rPr>
      <t xml:space="preserve">    /  ANTALYA</t>
    </r>
  </si>
  <si>
    <t>/ Eylül</t>
  </si>
  <si>
    <r>
      <t>Akü + Solar</t>
    </r>
    <r>
      <rPr>
        <sz val="10"/>
        <color indexed="37"/>
        <rFont val="Arial"/>
        <family val="2"/>
      </rPr>
      <t xml:space="preserve">  </t>
    </r>
    <r>
      <rPr>
        <sz val="10"/>
        <color indexed="20"/>
        <rFont val="Arial"/>
        <family val="2"/>
      </rPr>
      <t xml:space="preserve">   </t>
    </r>
    <r>
      <rPr>
        <sz val="10"/>
        <rFont val="Arial"/>
        <family val="2"/>
      </rPr>
      <t xml:space="preserve">  /  ANTALYA</t>
    </r>
  </si>
  <si>
    <t>/ Aralık</t>
  </si>
  <si>
    <r>
      <t>Akü + Solar</t>
    </r>
    <r>
      <rPr>
        <sz val="10"/>
        <color indexed="14"/>
        <rFont val="Arial"/>
        <family val="2"/>
      </rPr>
      <t xml:space="preserve">      </t>
    </r>
    <r>
      <rPr>
        <sz val="10"/>
        <rFont val="Arial"/>
        <family val="2"/>
      </rPr>
      <t xml:space="preserve"> /  İZMİR </t>
    </r>
  </si>
  <si>
    <r>
      <t>Akü + Solar</t>
    </r>
    <r>
      <rPr>
        <sz val="10"/>
        <color indexed="32"/>
        <rFont val="Arial"/>
        <family val="2"/>
      </rPr>
      <t xml:space="preserve"> </t>
    </r>
    <r>
      <rPr>
        <sz val="10"/>
        <rFont val="Arial"/>
        <family val="2"/>
      </rPr>
      <t xml:space="preserve">      /  İZMİR</t>
    </r>
  </si>
  <si>
    <r>
      <t>Akü + Solar</t>
    </r>
    <r>
      <rPr>
        <sz val="10"/>
        <color indexed="25"/>
        <rFont val="Arial"/>
        <family val="2"/>
      </rPr>
      <t xml:space="preserve"> </t>
    </r>
    <r>
      <rPr>
        <sz val="10"/>
        <color indexed="37"/>
        <rFont val="Arial"/>
        <family val="2"/>
      </rPr>
      <t xml:space="preserve"> </t>
    </r>
    <r>
      <rPr>
        <sz val="10"/>
        <color indexed="60"/>
        <rFont val="Arial"/>
        <family val="2"/>
      </rPr>
      <t xml:space="preserve"> </t>
    </r>
    <r>
      <rPr>
        <sz val="10"/>
        <rFont val="Arial"/>
        <family val="2"/>
      </rPr>
      <t xml:space="preserve">    /  İZMİR</t>
    </r>
  </si>
  <si>
    <t>Akü + Solar       /  İSTANBUL</t>
  </si>
  <si>
    <r>
      <t>Akü + Solar</t>
    </r>
    <r>
      <rPr>
        <sz val="10"/>
        <color indexed="32"/>
        <rFont val="Arial"/>
        <family val="2"/>
      </rPr>
      <t xml:space="preserve"> </t>
    </r>
    <r>
      <rPr>
        <sz val="10"/>
        <rFont val="Arial"/>
        <family val="2"/>
      </rPr>
      <t xml:space="preserve">      /  İSTANBUL</t>
    </r>
  </si>
  <si>
    <r>
      <t xml:space="preserve">Akü + Solar </t>
    </r>
    <r>
      <rPr>
        <sz val="10"/>
        <color indexed="37"/>
        <rFont val="Arial"/>
        <family val="2"/>
      </rPr>
      <t xml:space="preserve"> </t>
    </r>
    <r>
      <rPr>
        <sz val="10"/>
        <rFont val="Arial"/>
        <family val="2"/>
      </rPr>
      <t xml:space="preserve">     /  İSTANBUL</t>
    </r>
  </si>
  <si>
    <r>
      <t xml:space="preserve">Akü + Solar </t>
    </r>
    <r>
      <rPr>
        <sz val="10"/>
        <color indexed="14"/>
        <rFont val="Arial"/>
        <family val="2"/>
      </rPr>
      <t xml:space="preserve">     </t>
    </r>
    <r>
      <rPr>
        <sz val="10"/>
        <rFont val="Arial"/>
        <family val="2"/>
      </rPr>
      <t xml:space="preserve"> /  ANKARA </t>
    </r>
  </si>
  <si>
    <t>Akü + Solar       /  ANKARA</t>
  </si>
  <si>
    <r>
      <t xml:space="preserve">Akü + Solar </t>
    </r>
    <r>
      <rPr>
        <sz val="10"/>
        <color indexed="14"/>
        <rFont val="Arial"/>
        <family val="2"/>
      </rPr>
      <t xml:space="preserve">     </t>
    </r>
    <r>
      <rPr>
        <sz val="10"/>
        <rFont val="Arial"/>
        <family val="2"/>
      </rPr>
      <t xml:space="preserve"> /  TRABZON</t>
    </r>
  </si>
  <si>
    <r>
      <t>Akü + Solar</t>
    </r>
    <r>
      <rPr>
        <sz val="10"/>
        <color indexed="12"/>
        <rFont val="Arial"/>
        <family val="2"/>
      </rPr>
      <t xml:space="preserve">  </t>
    </r>
    <r>
      <rPr>
        <sz val="10"/>
        <rFont val="Arial"/>
        <family val="2"/>
      </rPr>
      <t xml:space="preserve">     /  TRABZON</t>
    </r>
  </si>
  <si>
    <r>
      <t>Akü + Solar</t>
    </r>
    <r>
      <rPr>
        <sz val="10"/>
        <color indexed="37"/>
        <rFont val="Arial"/>
        <family val="2"/>
      </rPr>
      <t xml:space="preserve">   </t>
    </r>
    <r>
      <rPr>
        <sz val="10"/>
        <rFont val="Arial"/>
        <family val="2"/>
      </rPr>
      <t xml:space="preserve">    /  TRABZON</t>
    </r>
  </si>
  <si>
    <r>
      <t xml:space="preserve">Tabelada kullanılan </t>
    </r>
    <r>
      <rPr>
        <b/>
        <sz val="10.5"/>
        <color indexed="56"/>
        <rFont val="Arial"/>
        <family val="2"/>
      </rPr>
      <t>sonsuz</t>
    </r>
    <r>
      <rPr>
        <i/>
        <sz val="10.5"/>
        <rFont val="Arial"/>
        <family val="2"/>
      </rPr>
      <t xml:space="preserve"> (∞) koşullar devam ettikçe geçerliliği olan fiktif bir sayı !</t>
    </r>
  </si>
  <si>
    <t>Temmuz ayı, yaz tatili için,</t>
  </si>
  <si>
    <t>Eylül ayı, yaz boyunca gezen emekliler ve araçlarını kışın da kısa gezilerde kullananlar için (Nisan-Eylül arasi verimi en düşük ay)</t>
  </si>
  <si>
    <t>Aralık ayı ise bütün sene gezen karavancıların yıl boyunca en az verim beklediği ay oldugundan seçildi.</t>
  </si>
  <si>
    <t>Cetvellerle alternatör akımının artı, ağaç ve bina gölgeleri ile buzdolabının uygunsuz kullanımının negatif etkileri hesaplanamıyor !</t>
  </si>
  <si>
    <t>Yasam aküsünün % 50 den fazla boşaltılmaması, akü ömrü açısından tavsiye ediliyor ! Uygunu % 25-33 arası, en fazla % 75 .</t>
  </si>
  <si>
    <t>Lityum demir fosfat akülerin bosalma parametreleri bilindiği üzere farklı !</t>
  </si>
  <si>
    <r>
      <t xml:space="preserve">                                                                                  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13"/>
        <rFont val="Arial"/>
        <family val="2"/>
      </rPr>
      <t xml:space="preserve"> </t>
    </r>
    <r>
      <rPr>
        <b/>
        <u/>
        <sz val="13"/>
        <color indexed="18"/>
        <rFont val="Arial"/>
        <family val="2"/>
      </rPr>
      <t>S O L A R    C E T V E L L E R İ</t>
    </r>
    <r>
      <rPr>
        <b/>
        <sz val="13"/>
        <color indexed="12"/>
        <rFont val="Arial"/>
        <family val="2"/>
      </rPr>
      <t xml:space="preserve">   </t>
    </r>
    <r>
      <rPr>
        <b/>
        <sz val="12"/>
        <color indexed="12"/>
        <rFont val="Arial"/>
        <family val="2"/>
      </rPr>
      <t xml:space="preserve">                                                                                       </t>
    </r>
    <r>
      <rPr>
        <b/>
        <sz val="11"/>
        <color indexed="12"/>
        <rFont val="Arial"/>
        <family val="2"/>
      </rPr>
      <t xml:space="preserve">    </t>
    </r>
  </si>
  <si>
    <r>
      <t xml:space="preserve">ÜRETİLEBİLEN  GÜNLÜK  ENERJİ  (Akü çıkışı)        </t>
    </r>
    <r>
      <rPr>
        <b/>
        <sz val="10"/>
        <color indexed="12"/>
        <rFont val="Arial"/>
        <family val="2"/>
      </rPr>
      <t xml:space="preserve">                                                                           </t>
    </r>
  </si>
  <si>
    <r>
      <t xml:space="preserve">Asağıdaki kırmızı </t>
    </r>
    <r>
      <rPr>
        <b/>
        <sz val="10"/>
        <color indexed="10"/>
        <rFont val="Arial"/>
        <family val="2"/>
      </rPr>
      <t>Volt</t>
    </r>
    <r>
      <rPr>
        <sz val="10"/>
        <color indexed="8"/>
        <rFont val="Arial"/>
        <family val="2"/>
      </rPr>
      <t xml:space="preserve"> ve </t>
    </r>
    <r>
      <rPr>
        <b/>
        <sz val="10"/>
        <color indexed="10"/>
        <rFont val="Arial"/>
        <family val="2"/>
      </rPr>
      <t>Watt</t>
    </r>
    <r>
      <rPr>
        <sz val="10"/>
        <color indexed="8"/>
        <rFont val="Arial"/>
        <family val="2"/>
      </rPr>
      <t xml:space="preserve"> değerlerini, sisteminizin değerlerleriyle değiştirerek, bulunduğunuz ay ve konumda üretilen günlük </t>
    </r>
    <r>
      <rPr>
        <b/>
        <sz val="10"/>
        <color indexed="12"/>
        <rFont val="Arial"/>
        <family val="2"/>
      </rPr>
      <t>akım değeri</t>
    </r>
    <r>
      <rPr>
        <sz val="10"/>
        <color indexed="8"/>
        <rFont val="Arial"/>
        <family val="2"/>
      </rPr>
      <t>ni bulabilirsiniz.</t>
    </r>
  </si>
  <si>
    <t>Panel Volt</t>
  </si>
  <si>
    <t xml:space="preserve"> ← 12 yada 24 Volt !</t>
  </si>
  <si>
    <t>Panel Watt</t>
  </si>
  <si>
    <t xml:space="preserve">                                       </t>
  </si>
  <si>
    <t xml:space="preserve">  Watt Peak (Wp) : Günlük elde edilebilen en fazla güç.</t>
  </si>
  <si>
    <r>
      <t xml:space="preserve">AY </t>
    </r>
    <r>
      <rPr>
        <sz val="10"/>
        <color indexed="8"/>
        <rFont val="Arial"/>
        <family val="2"/>
      </rPr>
      <t>/</t>
    </r>
    <r>
      <rPr>
        <sz val="10"/>
        <color indexed="12"/>
        <rFont val="Arial"/>
        <family val="2"/>
      </rPr>
      <t xml:space="preserve"> </t>
    </r>
    <r>
      <rPr>
        <b/>
        <sz val="10"/>
        <color indexed="12"/>
        <rFont val="Arial"/>
        <family val="2"/>
      </rPr>
      <t>KONUM</t>
    </r>
  </si>
  <si>
    <t>Antalya</t>
  </si>
  <si>
    <t>Izmir</t>
  </si>
  <si>
    <t>Istanbul</t>
  </si>
  <si>
    <t>Ankara</t>
  </si>
  <si>
    <t>Trabzon</t>
  </si>
  <si>
    <t>Watt Peak</t>
  </si>
  <si>
    <t>Amper-Saat</t>
  </si>
  <si>
    <t>Watt peak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</si>
  <si>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</si>
  <si>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</si>
  <si>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</si>
  <si>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</si>
  <si>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</si>
  <si>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</si>
  <si>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</si>
  <si>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</si>
  <si>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</si>
  <si>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</si>
  <si>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</si>
  <si>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</si>
  <si>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r>
      <t>MİNİMUM SOLAR PANEL GÜCÜ</t>
    </r>
    <r>
      <rPr>
        <sz val="13"/>
        <rFont val="Arial"/>
        <family val="2"/>
      </rPr>
      <t xml:space="preserve">   </t>
    </r>
    <r>
      <rPr>
        <sz val="10"/>
        <rFont val="Arial"/>
        <family val="2"/>
      </rPr>
      <t xml:space="preserve">                                                                  </t>
    </r>
  </si>
  <si>
    <r>
      <t xml:space="preserve">Bulunduğunuz ay ve konuma göre </t>
    </r>
    <r>
      <rPr>
        <b/>
        <sz val="10"/>
        <color indexed="12"/>
        <rFont val="Arial"/>
        <family val="2"/>
      </rPr>
      <t>minimum solar panel gücü</t>
    </r>
    <r>
      <rPr>
        <sz val="10"/>
        <color indexed="8"/>
        <rFont val="Arial"/>
        <family val="2"/>
      </rPr>
      <t>nüzü hesaplamak için; günlük harcadığınız enerji A/h değerinizi asağıya yazabilirsiniz.(12 Volt)</t>
    </r>
  </si>
  <si>
    <t>Günlük harcanan Amper/h</t>
  </si>
  <si>
    <t xml:space="preserve">                  Antalya</t>
  </si>
  <si>
    <t xml:space="preserve">                  Izmir</t>
  </si>
  <si>
    <t xml:space="preserve">                Istanbul</t>
  </si>
  <si>
    <t xml:space="preserve">               Ankara</t>
  </si>
  <si>
    <t xml:space="preserve">                 Trabzon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</si>
</sst>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58" x14ac:knownFonts="1">
    <font>
      <sz val="10"/>
      <name val="Arial"/>
      <family val="2"/>
    </font>
    <font>
      <b/>
      <u/>
      <sz val="13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b/>
      <sz val="13"/>
      <color indexed="12"/>
      <name val="Arial"/>
      <family val="2"/>
    </font>
    <font>
      <b/>
      <sz val="9"/>
      <color indexed="56"/>
      <name val="Arial"/>
      <family val="2"/>
    </font>
    <font>
      <b/>
      <sz val="13"/>
      <color indexed="56"/>
      <name val="Arial"/>
      <family val="2"/>
    </font>
    <font>
      <sz val="10.5"/>
      <color indexed="8"/>
      <name val="Arial"/>
      <family val="2"/>
    </font>
    <font>
      <u/>
      <sz val="10.5"/>
      <color indexed="10"/>
      <name val="Arial"/>
      <family val="2"/>
    </font>
    <font>
      <b/>
      <u/>
      <sz val="10.5"/>
      <color indexed="10"/>
      <name val="Arial"/>
      <family val="2"/>
    </font>
    <font>
      <sz val="10.5"/>
      <color indexed="10"/>
      <name val="Arial"/>
      <family val="2"/>
    </font>
    <font>
      <b/>
      <i/>
      <sz val="10.5"/>
      <color indexed="8"/>
      <name val="Arial"/>
      <family val="2"/>
    </font>
    <font>
      <b/>
      <sz val="10.5"/>
      <color indexed="8"/>
      <name val="Arial"/>
      <family val="2"/>
    </font>
    <font>
      <sz val="10"/>
      <color indexed="10"/>
      <name val="Arial"/>
      <family val="2"/>
    </font>
    <font>
      <b/>
      <sz val="10"/>
      <color indexed="36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7"/>
      <name val="Arial"/>
      <family val="2"/>
    </font>
    <font>
      <b/>
      <sz val="13"/>
      <name val="Arial"/>
      <family val="2"/>
    </font>
    <font>
      <b/>
      <sz val="13"/>
      <color indexed="10"/>
      <name val="Arial"/>
      <family val="2"/>
    </font>
    <font>
      <b/>
      <sz val="11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9"/>
      <color indexed="12"/>
      <name val="Arial"/>
      <family val="2"/>
    </font>
    <font>
      <b/>
      <sz val="10.5"/>
      <color indexed="12"/>
      <name val="Arial"/>
      <family val="2"/>
    </font>
    <font>
      <b/>
      <u/>
      <sz val="10"/>
      <color indexed="36"/>
      <name val="Arial"/>
      <family val="2"/>
    </font>
    <font>
      <b/>
      <sz val="10"/>
      <color indexed="53"/>
      <name val="Arial"/>
      <family val="2"/>
    </font>
    <font>
      <sz val="10"/>
      <color indexed="53"/>
      <name val="Arial"/>
      <family val="2"/>
    </font>
    <font>
      <i/>
      <sz val="10"/>
      <color indexed="53"/>
      <name val="Arial"/>
      <family val="2"/>
    </font>
    <font>
      <b/>
      <sz val="11"/>
      <color indexed="10"/>
      <name val="Arial"/>
      <family val="2"/>
    </font>
    <font>
      <b/>
      <sz val="10"/>
      <color indexed="56"/>
      <name val="Arial"/>
      <family val="2"/>
    </font>
    <font>
      <i/>
      <sz val="10"/>
      <color indexed="12"/>
      <name val="Arial"/>
      <family val="2"/>
    </font>
    <font>
      <sz val="10"/>
      <color indexed="11"/>
      <name val="Arial"/>
      <family val="2"/>
    </font>
    <font>
      <sz val="10"/>
      <color indexed="13"/>
      <name val="Arial"/>
      <family val="2"/>
    </font>
    <font>
      <sz val="10"/>
      <color indexed="37"/>
      <name val="Arial"/>
      <family val="2"/>
    </font>
    <font>
      <sz val="10"/>
      <color indexed="20"/>
      <name val="Arial"/>
      <family val="2"/>
    </font>
    <font>
      <sz val="10"/>
      <color indexed="14"/>
      <name val="Arial"/>
      <family val="2"/>
    </font>
    <font>
      <sz val="10"/>
      <color indexed="32"/>
      <name val="Arial"/>
      <family val="2"/>
    </font>
    <font>
      <sz val="10"/>
      <color indexed="25"/>
      <name val="Arial"/>
      <family val="2"/>
    </font>
    <font>
      <sz val="10"/>
      <color indexed="60"/>
      <name val="Arial"/>
      <family val="2"/>
    </font>
    <font>
      <i/>
      <sz val="10.5"/>
      <name val="Arial"/>
      <family val="2"/>
    </font>
    <font>
      <b/>
      <sz val="10.5"/>
      <color indexed="56"/>
      <name val="Arial"/>
      <family val="2"/>
    </font>
    <font>
      <i/>
      <sz val="10"/>
      <name val="Arial"/>
      <family val="2"/>
    </font>
    <font>
      <sz val="10"/>
      <color indexed="16"/>
      <name val="Arial"/>
      <family val="2"/>
    </font>
    <font>
      <u/>
      <sz val="10"/>
      <color indexed="12"/>
      <name val="Arial"/>
      <family val="2"/>
    </font>
    <font>
      <sz val="10"/>
      <color indexed="51"/>
      <name val="Arial"/>
      <family val="2"/>
    </font>
    <font>
      <b/>
      <i/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3"/>
      <color indexed="13"/>
      <name val="Arial"/>
      <family val="2"/>
    </font>
    <font>
      <b/>
      <u/>
      <sz val="13"/>
      <color indexed="18"/>
      <name val="Arial"/>
      <family val="2"/>
    </font>
    <font>
      <sz val="10"/>
      <color indexed="8"/>
      <name val="Arial"/>
      <family val="2"/>
    </font>
    <font>
      <b/>
      <sz val="10"/>
      <color indexed="21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8"/>
      <name val="Arial"/>
      <family val="2"/>
    </font>
    <font>
      <sz val="13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3"/>
        <bgColor indexed="26"/>
      </patternFill>
    </fill>
    <fill>
      <patternFill patternType="solid">
        <fgColor indexed="51"/>
        <bgColor indexed="52"/>
      </patternFill>
    </fill>
    <fill>
      <patternFill patternType="solid">
        <fgColor indexed="11"/>
        <bgColor indexed="50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52"/>
        <bgColor indexed="51"/>
      </patternFill>
    </fill>
    <fill>
      <patternFill patternType="solid">
        <fgColor indexed="34"/>
        <bgColor indexed="13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42"/>
      </patternFill>
    </fill>
    <fill>
      <patternFill patternType="solid">
        <fgColor indexed="50"/>
        <bgColor indexed="52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3"/>
        <bgColor indexed="55"/>
      </patternFill>
    </fill>
    <fill>
      <patternFill patternType="solid">
        <fgColor indexed="54"/>
        <bgColor indexed="23"/>
      </patternFill>
    </fill>
  </fills>
  <borders count="13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2">
    <xf numFmtId="0" fontId="0" fillId="0" borderId="0"/>
    <xf numFmtId="0" fontId="57" fillId="0" borderId="0"/>
  </cellStyleXfs>
  <cellXfs count="125">
    <xf numFmtId="0" fontId="0" fillId="0" borderId="0" xfId="0"/>
    <xf numFmtId="0" fontId="57" fillId="0" borderId="0" xfId="1" applyProtection="1">
      <protection hidden="1"/>
    </xf>
    <xf numFmtId="0" fontId="1" fillId="2" borderId="1" xfId="1" applyFont="1" applyFill="1" applyBorder="1" applyAlignment="1" applyProtection="1">
      <alignment horizontal="center" vertical="top" wrapText="1"/>
      <protection hidden="1"/>
    </xf>
    <xf numFmtId="0" fontId="2" fillId="0" borderId="2" xfId="1" applyFont="1" applyBorder="1" applyAlignment="1" applyProtection="1">
      <alignment horizontal="center" vertical="top"/>
      <protection hidden="1"/>
    </xf>
    <xf numFmtId="0" fontId="3" fillId="4" borderId="0" xfId="1" applyFont="1" applyFill="1" applyAlignment="1" applyProtection="1">
      <alignment vertical="top" wrapText="1"/>
      <protection hidden="1"/>
    </xf>
    <xf numFmtId="0" fontId="4" fillId="4" borderId="3" xfId="1" applyFont="1" applyFill="1" applyBorder="1" applyAlignment="1" applyProtection="1">
      <alignment horizontal="center" vertical="top" wrapText="1"/>
      <protection hidden="1"/>
    </xf>
    <xf numFmtId="0" fontId="2" fillId="0" borderId="0" xfId="1" applyFont="1" applyAlignment="1" applyProtection="1">
      <alignment vertical="top"/>
      <protection hidden="1"/>
    </xf>
    <xf numFmtId="0" fontId="2" fillId="0" borderId="3" xfId="1" applyFont="1" applyFill="1" applyBorder="1" applyAlignment="1" applyProtection="1">
      <alignment horizontal="center" vertical="top" wrapText="1"/>
      <protection hidden="1"/>
    </xf>
    <xf numFmtId="0" fontId="5" fillId="0" borderId="3" xfId="1" applyFont="1" applyFill="1" applyBorder="1" applyAlignment="1" applyProtection="1">
      <alignment horizontal="center" vertical="top" wrapText="1"/>
      <protection hidden="1"/>
    </xf>
    <xf numFmtId="0" fontId="6" fillId="0" borderId="3" xfId="1" applyFont="1" applyFill="1" applyBorder="1" applyAlignment="1" applyProtection="1">
      <alignment horizontal="left" vertical="top" wrapText="1"/>
      <protection hidden="1"/>
    </xf>
    <xf numFmtId="0" fontId="5" fillId="0" borderId="3" xfId="1" applyFont="1" applyFill="1" applyBorder="1" applyAlignment="1" applyProtection="1">
      <alignment horizontal="center" vertical="top"/>
      <protection hidden="1"/>
    </xf>
    <xf numFmtId="0" fontId="2" fillId="0" borderId="0" xfId="1" applyFont="1" applyFill="1" applyAlignment="1" applyProtection="1">
      <alignment vertical="top"/>
      <protection hidden="1"/>
    </xf>
    <xf numFmtId="0" fontId="14" fillId="0" borderId="0" xfId="1" applyFont="1" applyProtection="1">
      <protection hidden="1"/>
    </xf>
    <xf numFmtId="0" fontId="15" fillId="7" borderId="0" xfId="1" applyFont="1" applyFill="1" applyProtection="1">
      <protection locked="0" hidden="1"/>
    </xf>
    <xf numFmtId="0" fontId="16" fillId="7" borderId="3" xfId="1" applyFont="1" applyFill="1" applyBorder="1" applyAlignment="1" applyProtection="1">
      <alignment horizontal="center"/>
      <protection locked="0" hidden="1"/>
    </xf>
    <xf numFmtId="0" fontId="0" fillId="7" borderId="3" xfId="1" applyFont="1" applyFill="1" applyBorder="1" applyAlignment="1" applyProtection="1">
      <alignment horizontal="center"/>
      <protection hidden="1"/>
    </xf>
    <xf numFmtId="0" fontId="2" fillId="7" borderId="3" xfId="1" applyFont="1" applyFill="1" applyBorder="1" applyAlignment="1" applyProtection="1">
      <alignment horizontal="center"/>
      <protection hidden="1"/>
    </xf>
    <xf numFmtId="0" fontId="15" fillId="0" borderId="0" xfId="1" applyFont="1" applyProtection="1">
      <protection locked="0" hidden="1"/>
    </xf>
    <xf numFmtId="0" fontId="16" fillId="0" borderId="3" xfId="1" applyFont="1" applyBorder="1" applyAlignment="1" applyProtection="1">
      <alignment horizontal="center"/>
      <protection locked="0" hidden="1"/>
    </xf>
    <xf numFmtId="0" fontId="57" fillId="0" borderId="3" xfId="1" applyNumberFormat="1" applyBorder="1" applyAlignment="1" applyProtection="1">
      <alignment horizontal="center"/>
      <protection hidden="1"/>
    </xf>
    <xf numFmtId="0" fontId="2" fillId="0" borderId="3" xfId="1" applyNumberFormat="1" applyFont="1" applyBorder="1" applyAlignment="1" applyProtection="1">
      <alignment horizontal="center"/>
      <protection hidden="1"/>
    </xf>
    <xf numFmtId="0" fontId="16" fillId="0" borderId="3" xfId="1" applyFont="1" applyFill="1" applyBorder="1" applyAlignment="1" applyProtection="1">
      <alignment horizontal="center"/>
      <protection locked="0" hidden="1"/>
    </xf>
    <xf numFmtId="0" fontId="15" fillId="0" borderId="0" xfId="1" applyFont="1" applyFill="1" applyProtection="1">
      <protection locked="0" hidden="1"/>
    </xf>
    <xf numFmtId="0" fontId="0" fillId="0" borderId="3" xfId="1" applyFont="1" applyFill="1" applyBorder="1" applyAlignment="1" applyProtection="1">
      <alignment horizontal="center"/>
      <protection hidden="1"/>
    </xf>
    <xf numFmtId="0" fontId="2" fillId="0" borderId="3" xfId="1" applyFont="1" applyFill="1" applyBorder="1" applyAlignment="1" applyProtection="1">
      <alignment horizontal="center"/>
      <protection hidden="1"/>
    </xf>
    <xf numFmtId="0" fontId="0" fillId="0" borderId="0" xfId="1" applyFont="1" applyFill="1" applyProtection="1">
      <protection hidden="1"/>
    </xf>
    <xf numFmtId="0" fontId="17" fillId="0" borderId="0" xfId="1" applyFont="1" applyProtection="1">
      <protection hidden="1"/>
    </xf>
    <xf numFmtId="0" fontId="18" fillId="0" borderId="0" xfId="1" applyFont="1" applyProtection="1">
      <protection hidden="1"/>
    </xf>
    <xf numFmtId="0" fontId="0" fillId="7" borderId="0" xfId="1" applyFont="1" applyFill="1" applyProtection="1">
      <protection locked="0" hidden="1"/>
    </xf>
    <xf numFmtId="0" fontId="57" fillId="7" borderId="3" xfId="1" applyNumberFormat="1" applyFill="1" applyBorder="1" applyAlignment="1" applyProtection="1">
      <alignment horizontal="center"/>
      <protection hidden="1"/>
    </xf>
    <xf numFmtId="0" fontId="2" fillId="7" borderId="3" xfId="1" applyNumberFormat="1" applyFont="1" applyFill="1" applyBorder="1" applyAlignment="1" applyProtection="1">
      <alignment horizontal="center"/>
      <protection hidden="1"/>
    </xf>
    <xf numFmtId="1" fontId="19" fillId="2" borderId="3" xfId="1" applyNumberFormat="1" applyFont="1" applyFill="1" applyBorder="1" applyAlignment="1" applyProtection="1">
      <alignment horizontal="center"/>
      <protection hidden="1"/>
    </xf>
    <xf numFmtId="0" fontId="2" fillId="9" borderId="0" xfId="1" applyFont="1" applyFill="1" applyProtection="1">
      <protection hidden="1"/>
    </xf>
    <xf numFmtId="0" fontId="0" fillId="9" borderId="0" xfId="1" applyFont="1" applyFill="1" applyAlignment="1" applyProtection="1">
      <alignment horizontal="center"/>
      <protection hidden="1"/>
    </xf>
    <xf numFmtId="0" fontId="20" fillId="10" borderId="3" xfId="1" applyFont="1" applyFill="1" applyBorder="1" applyAlignment="1" applyProtection="1">
      <alignment horizontal="center"/>
      <protection locked="0" hidden="1"/>
    </xf>
    <xf numFmtId="0" fontId="21" fillId="5" borderId="5" xfId="1" applyFont="1" applyFill="1" applyBorder="1" applyProtection="1">
      <protection hidden="1"/>
    </xf>
    <xf numFmtId="0" fontId="2" fillId="4" borderId="7" xfId="1" applyFont="1" applyFill="1" applyBorder="1" applyAlignment="1" applyProtection="1">
      <alignment horizontal="left" vertical="top" wrapText="1"/>
      <protection hidden="1"/>
    </xf>
    <xf numFmtId="0" fontId="22" fillId="4" borderId="3" xfId="1" applyFont="1" applyFill="1" applyBorder="1" applyAlignment="1" applyProtection="1">
      <alignment horizontal="center" vertical="top" wrapText="1"/>
      <protection hidden="1"/>
    </xf>
    <xf numFmtId="0" fontId="22" fillId="4" borderId="3" xfId="1" applyFont="1" applyFill="1" applyBorder="1" applyAlignment="1" applyProtection="1">
      <alignment horizontal="center" vertical="top"/>
      <protection hidden="1"/>
    </xf>
    <xf numFmtId="0" fontId="24" fillId="11" borderId="3" xfId="1" applyFont="1" applyFill="1" applyBorder="1" applyAlignment="1" applyProtection="1">
      <alignment horizontal="center" vertical="top" wrapText="1"/>
      <protection hidden="1"/>
    </xf>
    <xf numFmtId="0" fontId="0" fillId="0" borderId="0" xfId="1" applyFont="1" applyAlignment="1" applyProtection="1">
      <alignment horizontal="center"/>
      <protection hidden="1"/>
    </xf>
    <xf numFmtId="0" fontId="57" fillId="0" borderId="0" xfId="1" applyAlignment="1" applyProtection="1">
      <alignment horizontal="center"/>
      <protection hidden="1"/>
    </xf>
    <xf numFmtId="0" fontId="25" fillId="2" borderId="3" xfId="1" applyFont="1" applyFill="1" applyBorder="1" applyAlignment="1" applyProtection="1">
      <alignment horizontal="center"/>
      <protection hidden="1"/>
    </xf>
    <xf numFmtId="0" fontId="0" fillId="0" borderId="0" xfId="1" applyFont="1" applyProtection="1">
      <protection hidden="1"/>
    </xf>
    <xf numFmtId="0" fontId="26" fillId="12" borderId="3" xfId="1" applyFont="1" applyFill="1" applyBorder="1" applyAlignment="1" applyProtection="1">
      <alignment wrapText="1"/>
      <protection locked="0" hidden="1"/>
    </xf>
    <xf numFmtId="0" fontId="30" fillId="0" borderId="3" xfId="1" applyFont="1" applyBorder="1" applyAlignment="1" applyProtection="1">
      <alignment horizontal="center"/>
      <protection locked="0" hidden="1"/>
    </xf>
    <xf numFmtId="0" fontId="57" fillId="0" borderId="1" xfId="1" applyNumberFormat="1" applyBorder="1" applyAlignment="1" applyProtection="1">
      <alignment horizontal="center"/>
      <protection hidden="1"/>
    </xf>
    <xf numFmtId="0" fontId="30" fillId="10" borderId="3" xfId="1" applyFont="1" applyFill="1" applyBorder="1" applyAlignment="1" applyProtection="1">
      <alignment horizontal="center"/>
      <protection locked="0" hidden="1"/>
    </xf>
    <xf numFmtId="0" fontId="0" fillId="0" borderId="8" xfId="1" applyFont="1" applyBorder="1" applyProtection="1">
      <protection hidden="1"/>
    </xf>
    <xf numFmtId="0" fontId="0" fillId="0" borderId="9" xfId="1" applyFont="1" applyBorder="1" applyProtection="1">
      <protection hidden="1"/>
    </xf>
    <xf numFmtId="0" fontId="32" fillId="0" borderId="7" xfId="1" applyFont="1" applyBorder="1" applyAlignment="1" applyProtection="1">
      <alignment horizontal="center"/>
      <protection hidden="1"/>
    </xf>
    <xf numFmtId="164" fontId="57" fillId="0" borderId="9" xfId="1" applyNumberFormat="1" applyBorder="1" applyAlignment="1" applyProtection="1">
      <alignment horizontal="center"/>
      <protection hidden="1"/>
    </xf>
    <xf numFmtId="0" fontId="25" fillId="2" borderId="9" xfId="1" applyFont="1" applyFill="1" applyBorder="1" applyAlignment="1" applyProtection="1">
      <alignment horizontal="center"/>
      <protection hidden="1"/>
    </xf>
    <xf numFmtId="0" fontId="0" fillId="0" borderId="6" xfId="1" applyFont="1" applyBorder="1" applyProtection="1">
      <protection hidden="1"/>
    </xf>
    <xf numFmtId="0" fontId="0" fillId="0" borderId="10" xfId="1" applyFont="1" applyBorder="1" applyProtection="1">
      <protection hidden="1"/>
    </xf>
    <xf numFmtId="0" fontId="32" fillId="0" borderId="0" xfId="1" applyFont="1" applyAlignment="1" applyProtection="1">
      <alignment horizontal="center"/>
      <protection hidden="1"/>
    </xf>
    <xf numFmtId="164" fontId="57" fillId="0" borderId="10" xfId="1" applyNumberFormat="1" applyBorder="1" applyAlignment="1" applyProtection="1">
      <alignment horizontal="center"/>
      <protection hidden="1"/>
    </xf>
    <xf numFmtId="0" fontId="25" fillId="2" borderId="10" xfId="1" applyFont="1" applyFill="1" applyBorder="1" applyAlignment="1" applyProtection="1">
      <alignment horizontal="center"/>
      <protection hidden="1"/>
    </xf>
    <xf numFmtId="0" fontId="0" fillId="0" borderId="11" xfId="1" applyFont="1" applyBorder="1" applyProtection="1">
      <protection hidden="1"/>
    </xf>
    <xf numFmtId="0" fontId="0" fillId="0" borderId="12" xfId="1" applyFont="1" applyBorder="1" applyProtection="1">
      <protection hidden="1"/>
    </xf>
    <xf numFmtId="0" fontId="32" fillId="0" borderId="1" xfId="1" applyFont="1" applyBorder="1" applyAlignment="1" applyProtection="1">
      <alignment horizontal="center"/>
      <protection hidden="1"/>
    </xf>
    <xf numFmtId="164" fontId="57" fillId="0" borderId="12" xfId="1" applyNumberFormat="1" applyBorder="1" applyAlignment="1" applyProtection="1">
      <alignment horizontal="center"/>
      <protection hidden="1"/>
    </xf>
    <xf numFmtId="0" fontId="25" fillId="2" borderId="12" xfId="1" applyFont="1" applyFill="1" applyBorder="1" applyAlignment="1" applyProtection="1">
      <alignment horizontal="center"/>
      <protection hidden="1"/>
    </xf>
    <xf numFmtId="0" fontId="0" fillId="15" borderId="0" xfId="1" applyFont="1" applyFill="1" applyProtection="1">
      <protection hidden="1"/>
    </xf>
    <xf numFmtId="0" fontId="0" fillId="15" borderId="10" xfId="1" applyFont="1" applyFill="1" applyBorder="1" applyProtection="1">
      <protection hidden="1"/>
    </xf>
    <xf numFmtId="0" fontId="32" fillId="15" borderId="0" xfId="1" applyFont="1" applyFill="1" applyAlignment="1" applyProtection="1">
      <alignment horizontal="center"/>
      <protection hidden="1"/>
    </xf>
    <xf numFmtId="164" fontId="57" fillId="15" borderId="10" xfId="1" applyNumberFormat="1" applyFill="1" applyBorder="1" applyAlignment="1" applyProtection="1">
      <alignment horizontal="center"/>
      <protection hidden="1"/>
    </xf>
    <xf numFmtId="0" fontId="17" fillId="7" borderId="0" xfId="1" applyFont="1" applyFill="1" applyProtection="1">
      <protection hidden="1"/>
    </xf>
    <xf numFmtId="0" fontId="32" fillId="7" borderId="0" xfId="1" applyFont="1" applyFill="1" applyProtection="1">
      <protection hidden="1"/>
    </xf>
    <xf numFmtId="0" fontId="17" fillId="7" borderId="0" xfId="1" applyNumberFormat="1" applyFont="1" applyFill="1" applyProtection="1">
      <protection hidden="1"/>
    </xf>
    <xf numFmtId="0" fontId="25" fillId="7" borderId="0" xfId="1" applyFont="1" applyFill="1" applyAlignment="1" applyProtection="1">
      <alignment horizontal="center"/>
      <protection hidden="1"/>
    </xf>
    <xf numFmtId="0" fontId="57" fillId="7" borderId="0" xfId="1" applyFill="1" applyProtection="1">
      <protection hidden="1"/>
    </xf>
    <xf numFmtId="0" fontId="44" fillId="7" borderId="0" xfId="1" applyFont="1" applyFill="1" applyBorder="1" applyAlignment="1" applyProtection="1">
      <alignment vertical="top" wrapText="1"/>
      <protection hidden="1"/>
    </xf>
    <xf numFmtId="0" fontId="45" fillId="7" borderId="0" xfId="1" applyFont="1" applyFill="1" applyProtection="1">
      <protection hidden="1"/>
    </xf>
    <xf numFmtId="0" fontId="51" fillId="2" borderId="0" xfId="1" applyFont="1" applyFill="1" applyProtection="1">
      <protection hidden="1"/>
    </xf>
    <xf numFmtId="0" fontId="16" fillId="2" borderId="0" xfId="1" applyFont="1" applyFill="1" applyBorder="1" applyProtection="1">
      <protection hidden="1"/>
    </xf>
    <xf numFmtId="0" fontId="57" fillId="2" borderId="0" xfId="1" applyFill="1" applyProtection="1">
      <protection hidden="1"/>
    </xf>
    <xf numFmtId="0" fontId="16" fillId="0" borderId="0" xfId="1" applyFont="1" applyProtection="1">
      <protection hidden="1"/>
    </xf>
    <xf numFmtId="0" fontId="16" fillId="11" borderId="3" xfId="1" applyFont="1" applyFill="1" applyBorder="1" applyAlignment="1" applyProtection="1">
      <alignment horizontal="center"/>
      <protection locked="0" hidden="1"/>
    </xf>
    <xf numFmtId="0" fontId="52" fillId="0" borderId="3" xfId="1" applyFont="1" applyBorder="1" applyProtection="1">
      <protection hidden="1"/>
    </xf>
    <xf numFmtId="0" fontId="2" fillId="0" borderId="5" xfId="1" applyFont="1" applyBorder="1" applyAlignment="1" applyProtection="1">
      <alignment horizontal="right"/>
      <protection hidden="1"/>
    </xf>
    <xf numFmtId="0" fontId="53" fillId="0" borderId="3" xfId="1" applyFont="1" applyBorder="1" applyAlignment="1" applyProtection="1">
      <alignment horizontal="center"/>
      <protection hidden="1"/>
    </xf>
    <xf numFmtId="0" fontId="54" fillId="8" borderId="3" xfId="1" applyFont="1" applyFill="1" applyBorder="1" applyProtection="1">
      <protection hidden="1"/>
    </xf>
    <xf numFmtId="164" fontId="57" fillId="8" borderId="3" xfId="1" applyNumberFormat="1" applyFill="1" applyBorder="1" applyAlignment="1" applyProtection="1">
      <alignment horizontal="center"/>
      <protection hidden="1"/>
    </xf>
    <xf numFmtId="164" fontId="55" fillId="8" borderId="3" xfId="1" applyNumberFormat="1" applyFont="1" applyFill="1" applyBorder="1" applyAlignment="1" applyProtection="1">
      <alignment horizontal="center"/>
      <protection hidden="1"/>
    </xf>
    <xf numFmtId="0" fontId="54" fillId="0" borderId="3" xfId="1" applyFont="1" applyBorder="1" applyProtection="1">
      <protection hidden="1"/>
    </xf>
    <xf numFmtId="164" fontId="57" fillId="0" borderId="3" xfId="1" applyNumberFormat="1" applyBorder="1" applyAlignment="1" applyProtection="1">
      <alignment horizontal="center"/>
      <protection hidden="1"/>
    </xf>
    <xf numFmtId="164" fontId="55" fillId="0" borderId="3" xfId="1" applyNumberFormat="1" applyFont="1" applyBorder="1" applyAlignment="1" applyProtection="1">
      <alignment horizontal="center"/>
      <protection hidden="1"/>
    </xf>
    <xf numFmtId="0" fontId="0" fillId="2" borderId="0" xfId="1" applyFont="1" applyFill="1" applyProtection="1">
      <protection hidden="1"/>
    </xf>
    <xf numFmtId="0" fontId="0" fillId="0" borderId="0" xfId="1" applyFont="1" applyAlignment="1" applyProtection="1">
      <alignment horizontal="left"/>
      <protection hidden="1"/>
    </xf>
    <xf numFmtId="0" fontId="30" fillId="11" borderId="3" xfId="1" applyFont="1" applyFill="1" applyBorder="1" applyAlignment="1" applyProtection="1">
      <alignment horizontal="center"/>
      <protection locked="0" hidden="1"/>
    </xf>
    <xf numFmtId="0" fontId="54" fillId="15" borderId="3" xfId="1" applyFont="1" applyFill="1" applyBorder="1" applyProtection="1">
      <protection hidden="1"/>
    </xf>
    <xf numFmtId="0" fontId="2" fillId="15" borderId="3" xfId="1" applyFont="1" applyFill="1" applyBorder="1" applyAlignment="1" applyProtection="1">
      <alignment horizontal="center"/>
      <protection hidden="1"/>
    </xf>
    <xf numFmtId="164" fontId="2" fillId="15" borderId="3" xfId="1" applyNumberFormat="1" applyFont="1" applyFill="1" applyBorder="1" applyAlignment="1" applyProtection="1">
      <alignment horizontal="center"/>
      <protection hidden="1"/>
    </xf>
    <xf numFmtId="2" fontId="2" fillId="15" borderId="3" xfId="1" applyNumberFormat="1" applyFont="1" applyFill="1" applyBorder="1" applyAlignment="1" applyProtection="1">
      <alignment horizontal="center"/>
      <protection hidden="1"/>
    </xf>
    <xf numFmtId="0" fontId="2" fillId="0" borderId="3" xfId="1" applyFont="1" applyBorder="1" applyAlignment="1" applyProtection="1">
      <alignment horizontal="center"/>
      <protection hidden="1"/>
    </xf>
    <xf numFmtId="164" fontId="2" fillId="0" borderId="3" xfId="1" applyNumberFormat="1" applyFont="1" applyBorder="1" applyAlignment="1" applyProtection="1">
      <alignment horizontal="center"/>
      <protection hidden="1"/>
    </xf>
    <xf numFmtId="0" fontId="54" fillId="17" borderId="3" xfId="1" applyFont="1" applyFill="1" applyBorder="1" applyProtection="1">
      <protection hidden="1"/>
    </xf>
    <xf numFmtId="0" fontId="5" fillId="11" borderId="5" xfId="1" applyFont="1" applyFill="1" applyBorder="1" applyAlignment="1" applyProtection="1">
      <alignment horizontal="left"/>
      <protection hidden="1"/>
    </xf>
    <xf numFmtId="0" fontId="0" fillId="0" borderId="0" xfId="1" applyFont="1" applyBorder="1" applyAlignment="1" applyProtection="1">
      <alignment horizontal="left"/>
      <protection hidden="1"/>
    </xf>
    <xf numFmtId="0" fontId="57" fillId="0" borderId="0" xfId="1" applyBorder="1" applyProtection="1">
      <protection hidden="1"/>
    </xf>
    <xf numFmtId="0" fontId="3" fillId="0" borderId="3" xfId="1" applyFont="1" applyBorder="1" applyAlignment="1" applyProtection="1">
      <alignment horizontal="center" vertical="center"/>
      <protection hidden="1"/>
    </xf>
    <xf numFmtId="0" fontId="54" fillId="16" borderId="3" xfId="1" applyFont="1" applyFill="1" applyBorder="1" applyProtection="1">
      <protection hidden="1"/>
    </xf>
    <xf numFmtId="0" fontId="48" fillId="2" borderId="0" xfId="1" applyFont="1" applyFill="1" applyBorder="1" applyAlignment="1" applyProtection="1">
      <alignment horizontal="left"/>
      <protection hidden="1"/>
    </xf>
    <xf numFmtId="0" fontId="48" fillId="11" borderId="5" xfId="1" applyFont="1" applyFill="1" applyBorder="1" applyAlignment="1" applyProtection="1">
      <protection hidden="1"/>
    </xf>
    <xf numFmtId="0" fontId="0" fillId="0" borderId="0" xfId="1" applyFont="1" applyBorder="1" applyProtection="1">
      <protection hidden="1"/>
    </xf>
    <xf numFmtId="0" fontId="43" fillId="0" borderId="0" xfId="1" applyFont="1" applyBorder="1" applyProtection="1">
      <protection hidden="1"/>
    </xf>
    <xf numFmtId="0" fontId="43" fillId="4" borderId="0" xfId="1" applyFont="1" applyFill="1" applyBorder="1" applyProtection="1">
      <protection hidden="1"/>
    </xf>
    <xf numFmtId="0" fontId="17" fillId="7" borderId="0" xfId="1" applyFont="1" applyFill="1" applyBorder="1" applyProtection="1">
      <protection hidden="1"/>
    </xf>
    <xf numFmtId="0" fontId="46" fillId="4" borderId="0" xfId="1" applyFont="1" applyFill="1" applyBorder="1" applyProtection="1">
      <protection hidden="1"/>
    </xf>
    <xf numFmtId="0" fontId="47" fillId="4" borderId="0" xfId="1" applyFont="1" applyFill="1" applyBorder="1" applyAlignment="1" applyProtection="1">
      <alignment vertical="top" wrapText="1"/>
      <protection hidden="1"/>
    </xf>
    <xf numFmtId="0" fontId="48" fillId="2" borderId="0" xfId="1" applyFont="1" applyFill="1" applyBorder="1" applyAlignment="1" applyProtection="1">
      <alignment horizontal="center"/>
      <protection hidden="1"/>
    </xf>
    <xf numFmtId="0" fontId="2" fillId="0" borderId="5" xfId="1" applyFont="1" applyBorder="1" applyProtection="1">
      <protection hidden="1"/>
    </xf>
    <xf numFmtId="0" fontId="57" fillId="0" borderId="3" xfId="1" applyBorder="1" applyProtection="1">
      <protection hidden="1"/>
    </xf>
    <xf numFmtId="0" fontId="31" fillId="13" borderId="0" xfId="1" applyFont="1" applyFill="1" applyBorder="1" applyProtection="1">
      <protection hidden="1"/>
    </xf>
    <xf numFmtId="0" fontId="0" fillId="14" borderId="3" xfId="1" applyFont="1" applyFill="1" applyBorder="1" applyAlignment="1" applyProtection="1">
      <alignment horizontal="center"/>
      <protection hidden="1"/>
    </xf>
    <xf numFmtId="0" fontId="57" fillId="0" borderId="3" xfId="1" applyNumberFormat="1" applyBorder="1" applyProtection="1">
      <protection hidden="1"/>
    </xf>
    <xf numFmtId="0" fontId="41" fillId="0" borderId="5" xfId="1" applyFont="1" applyBorder="1" applyProtection="1">
      <protection hidden="1"/>
    </xf>
    <xf numFmtId="0" fontId="2" fillId="3" borderId="2" xfId="1" applyFont="1" applyFill="1" applyBorder="1" applyAlignment="1" applyProtection="1">
      <alignment horizontal="center" vertical="top"/>
      <protection hidden="1"/>
    </xf>
    <xf numFmtId="0" fontId="1" fillId="2" borderId="1" xfId="1" applyFont="1" applyFill="1" applyBorder="1" applyAlignment="1" applyProtection="1">
      <alignment horizontal="center" vertical="top" wrapText="1"/>
      <protection hidden="1"/>
    </xf>
    <xf numFmtId="0" fontId="8" fillId="5" borderId="4" xfId="1" applyFont="1" applyFill="1" applyBorder="1" applyAlignment="1" applyProtection="1">
      <alignment horizontal="center" vertical="top" wrapText="1"/>
      <protection hidden="1"/>
    </xf>
    <xf numFmtId="0" fontId="2" fillId="6" borderId="0" xfId="1" applyFont="1" applyFill="1" applyBorder="1" applyProtection="1">
      <protection hidden="1"/>
    </xf>
    <xf numFmtId="0" fontId="2" fillId="8" borderId="5" xfId="1" applyFont="1" applyFill="1" applyBorder="1" applyProtection="1">
      <protection hidden="1"/>
    </xf>
    <xf numFmtId="0" fontId="3" fillId="5" borderId="5" xfId="1" applyFont="1" applyFill="1" applyBorder="1" applyProtection="1">
      <protection hidden="1"/>
    </xf>
    <xf numFmtId="0" fontId="57" fillId="3" borderId="6" xfId="1" applyFill="1" applyBorder="1"/>
  </cellXfs>
  <cellStyles count="2">
    <cellStyle name="Excel Built-in Normal" xfId="1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DC2300"/>
      <rgbColor rgb="00FFFFCC"/>
      <rgbColor rgb="00CCFFFF"/>
      <rgbColor rgb="00660066"/>
      <rgbColor rgb="00FF8080"/>
      <rgbColor rgb="000066CC"/>
      <rgbColor rgb="00DDDDDD"/>
      <rgbColor rgb="00280099"/>
      <rgbColor rgb="00FF00FF"/>
      <rgbColor rgb="00E6FF00"/>
      <rgbColor rgb="0000FFFF"/>
      <rgbColor rgb="00C5000B"/>
      <rgbColor rgb="007E0021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66CC00"/>
      <rgbColor rgb="00FFD320"/>
      <rgbColor rgb="00CCCC00"/>
      <rgbColor rgb="00FF420E"/>
      <rgbColor rgb="00666666"/>
      <rgbColor rgb="00999999"/>
      <rgbColor rgb="00004586"/>
      <rgbColor rgb="00339966"/>
      <rgbColor rgb="00003300"/>
      <rgbColor rgb="00333300"/>
      <rgbColor rgb="00B847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51</xdr:row>
      <xdr:rowOff>104775</xdr:rowOff>
    </xdr:from>
    <xdr:to>
      <xdr:col>6</xdr:col>
      <xdr:colOff>657225</xdr:colOff>
      <xdr:row>59</xdr:row>
      <xdr:rowOff>161925</xdr:rowOff>
    </xdr:to>
    <xdr:pic>
      <xdr:nvPicPr>
        <xdr:cNvPr id="1025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0001250"/>
          <a:ext cx="1390650" cy="1352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28575</xdr:colOff>
      <xdr:row>72</xdr:row>
      <xdr:rowOff>161925</xdr:rowOff>
    </xdr:from>
    <xdr:to>
      <xdr:col>7</xdr:col>
      <xdr:colOff>19050</xdr:colOff>
      <xdr:row>95</xdr:row>
      <xdr:rowOff>133350</xdr:rowOff>
    </xdr:to>
    <xdr:pic>
      <xdr:nvPicPr>
        <xdr:cNvPr id="1026" name="Grafik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3535025"/>
          <a:ext cx="7096125" cy="3724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95250</xdr:colOff>
      <xdr:row>44</xdr:row>
      <xdr:rowOff>95250</xdr:rowOff>
    </xdr:from>
    <xdr:to>
      <xdr:col>6</xdr:col>
      <xdr:colOff>57150</xdr:colOff>
      <xdr:row>46</xdr:row>
      <xdr:rowOff>323850</xdr:rowOff>
    </xdr:to>
    <xdr:pic>
      <xdr:nvPicPr>
        <xdr:cNvPr id="1027" name="Grafik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8305800"/>
          <a:ext cx="75247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285750</xdr:colOff>
      <xdr:row>138</xdr:row>
      <xdr:rowOff>276225</xdr:rowOff>
    </xdr:from>
    <xdr:to>
      <xdr:col>1</xdr:col>
      <xdr:colOff>333375</xdr:colOff>
      <xdr:row>139</xdr:row>
      <xdr:rowOff>19050</xdr:rowOff>
    </xdr:to>
    <xdr:pic>
      <xdr:nvPicPr>
        <xdr:cNvPr id="102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295275</xdr:colOff>
      <xdr:row>138</xdr:row>
      <xdr:rowOff>276225</xdr:rowOff>
    </xdr:from>
    <xdr:to>
      <xdr:col>2</xdr:col>
      <xdr:colOff>342900</xdr:colOff>
      <xdr:row>139</xdr:row>
      <xdr:rowOff>19050</xdr:rowOff>
    </xdr:to>
    <xdr:pic>
      <xdr:nvPicPr>
        <xdr:cNvPr id="102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276225</xdr:colOff>
      <xdr:row>138</xdr:row>
      <xdr:rowOff>276225</xdr:rowOff>
    </xdr:from>
    <xdr:to>
      <xdr:col>3</xdr:col>
      <xdr:colOff>323850</xdr:colOff>
      <xdr:row>139</xdr:row>
      <xdr:rowOff>19050</xdr:rowOff>
    </xdr:to>
    <xdr:pic>
      <xdr:nvPicPr>
        <xdr:cNvPr id="103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323850</xdr:colOff>
      <xdr:row>138</xdr:row>
      <xdr:rowOff>276225</xdr:rowOff>
    </xdr:from>
    <xdr:to>
      <xdr:col>4</xdr:col>
      <xdr:colOff>381000</xdr:colOff>
      <xdr:row>139</xdr:row>
      <xdr:rowOff>19050</xdr:rowOff>
    </xdr:to>
    <xdr:pic>
      <xdr:nvPicPr>
        <xdr:cNvPr id="103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25250775"/>
          <a:ext cx="5715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285750</xdr:colOff>
      <xdr:row>138</xdr:row>
      <xdr:rowOff>276225</xdr:rowOff>
    </xdr:from>
    <xdr:to>
      <xdr:col>5</xdr:col>
      <xdr:colOff>333375</xdr:colOff>
      <xdr:row>139</xdr:row>
      <xdr:rowOff>19050</xdr:rowOff>
    </xdr:to>
    <xdr:pic>
      <xdr:nvPicPr>
        <xdr:cNvPr id="103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266700</xdr:colOff>
      <xdr:row>138</xdr:row>
      <xdr:rowOff>276225</xdr:rowOff>
    </xdr:from>
    <xdr:to>
      <xdr:col>6</xdr:col>
      <xdr:colOff>314325</xdr:colOff>
      <xdr:row>139</xdr:row>
      <xdr:rowOff>19050</xdr:rowOff>
    </xdr:to>
    <xdr:pic>
      <xdr:nvPicPr>
        <xdr:cNvPr id="103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266700</xdr:colOff>
      <xdr:row>138</xdr:row>
      <xdr:rowOff>276225</xdr:rowOff>
    </xdr:from>
    <xdr:to>
      <xdr:col>7</xdr:col>
      <xdr:colOff>314325</xdr:colOff>
      <xdr:row>139</xdr:row>
      <xdr:rowOff>19050</xdr:rowOff>
    </xdr:to>
    <xdr:pic>
      <xdr:nvPicPr>
        <xdr:cNvPr id="103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209550</xdr:colOff>
      <xdr:row>138</xdr:row>
      <xdr:rowOff>276225</xdr:rowOff>
    </xdr:from>
    <xdr:to>
      <xdr:col>8</xdr:col>
      <xdr:colOff>247650</xdr:colOff>
      <xdr:row>139</xdr:row>
      <xdr:rowOff>19050</xdr:rowOff>
    </xdr:to>
    <xdr:pic>
      <xdr:nvPicPr>
        <xdr:cNvPr id="103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266700</xdr:colOff>
      <xdr:row>138</xdr:row>
      <xdr:rowOff>276225</xdr:rowOff>
    </xdr:from>
    <xdr:to>
      <xdr:col>9</xdr:col>
      <xdr:colOff>400050</xdr:colOff>
      <xdr:row>139</xdr:row>
      <xdr:rowOff>57150</xdr:rowOff>
    </xdr:to>
    <xdr:pic>
      <xdr:nvPicPr>
        <xdr:cNvPr id="103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25250775"/>
          <a:ext cx="133350" cy="66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266700</xdr:colOff>
      <xdr:row>138</xdr:row>
      <xdr:rowOff>276225</xdr:rowOff>
    </xdr:from>
    <xdr:to>
      <xdr:col>10</xdr:col>
      <xdr:colOff>314325</xdr:colOff>
      <xdr:row>139</xdr:row>
      <xdr:rowOff>19050</xdr:rowOff>
    </xdr:to>
    <xdr:pic>
      <xdr:nvPicPr>
        <xdr:cNvPr id="103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</xdr:col>
      <xdr:colOff>266700</xdr:colOff>
      <xdr:row>138</xdr:row>
      <xdr:rowOff>276225</xdr:rowOff>
    </xdr:from>
    <xdr:to>
      <xdr:col>11</xdr:col>
      <xdr:colOff>314325</xdr:colOff>
      <xdr:row>139</xdr:row>
      <xdr:rowOff>19050</xdr:rowOff>
    </xdr:to>
    <xdr:pic>
      <xdr:nvPicPr>
        <xdr:cNvPr id="103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31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266700</xdr:colOff>
      <xdr:row>138</xdr:row>
      <xdr:rowOff>276225</xdr:rowOff>
    </xdr:from>
    <xdr:to>
      <xdr:col>12</xdr:col>
      <xdr:colOff>314325</xdr:colOff>
      <xdr:row>139</xdr:row>
      <xdr:rowOff>19050</xdr:rowOff>
    </xdr:to>
    <xdr:pic>
      <xdr:nvPicPr>
        <xdr:cNvPr id="103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66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266700</xdr:colOff>
      <xdr:row>138</xdr:row>
      <xdr:rowOff>276225</xdr:rowOff>
    </xdr:from>
    <xdr:to>
      <xdr:col>13</xdr:col>
      <xdr:colOff>314325</xdr:colOff>
      <xdr:row>139</xdr:row>
      <xdr:rowOff>19050</xdr:rowOff>
    </xdr:to>
    <xdr:pic>
      <xdr:nvPicPr>
        <xdr:cNvPr id="104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00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266700</xdr:colOff>
      <xdr:row>138</xdr:row>
      <xdr:rowOff>276225</xdr:rowOff>
    </xdr:from>
    <xdr:to>
      <xdr:col>14</xdr:col>
      <xdr:colOff>304800</xdr:colOff>
      <xdr:row>139</xdr:row>
      <xdr:rowOff>19050</xdr:rowOff>
    </xdr:to>
    <xdr:pic>
      <xdr:nvPicPr>
        <xdr:cNvPr id="104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634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</xdr:col>
      <xdr:colOff>266700</xdr:colOff>
      <xdr:row>138</xdr:row>
      <xdr:rowOff>276225</xdr:rowOff>
    </xdr:from>
    <xdr:to>
      <xdr:col>15</xdr:col>
      <xdr:colOff>314325</xdr:colOff>
      <xdr:row>139</xdr:row>
      <xdr:rowOff>19050</xdr:rowOff>
    </xdr:to>
    <xdr:pic>
      <xdr:nvPicPr>
        <xdr:cNvPr id="104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</xdr:col>
      <xdr:colOff>266700</xdr:colOff>
      <xdr:row>138</xdr:row>
      <xdr:rowOff>276225</xdr:rowOff>
    </xdr:from>
    <xdr:to>
      <xdr:col>16</xdr:col>
      <xdr:colOff>314325</xdr:colOff>
      <xdr:row>139</xdr:row>
      <xdr:rowOff>19050</xdr:rowOff>
    </xdr:to>
    <xdr:pic>
      <xdr:nvPicPr>
        <xdr:cNvPr id="104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303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</xdr:col>
      <xdr:colOff>266700</xdr:colOff>
      <xdr:row>138</xdr:row>
      <xdr:rowOff>276225</xdr:rowOff>
    </xdr:from>
    <xdr:to>
      <xdr:col>17</xdr:col>
      <xdr:colOff>314325</xdr:colOff>
      <xdr:row>139</xdr:row>
      <xdr:rowOff>19050</xdr:rowOff>
    </xdr:to>
    <xdr:pic>
      <xdr:nvPicPr>
        <xdr:cNvPr id="104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37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</xdr:col>
      <xdr:colOff>266700</xdr:colOff>
      <xdr:row>138</xdr:row>
      <xdr:rowOff>276225</xdr:rowOff>
    </xdr:from>
    <xdr:to>
      <xdr:col>18</xdr:col>
      <xdr:colOff>304800</xdr:colOff>
      <xdr:row>139</xdr:row>
      <xdr:rowOff>19050</xdr:rowOff>
    </xdr:to>
    <xdr:pic>
      <xdr:nvPicPr>
        <xdr:cNvPr id="104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971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266700</xdr:colOff>
      <xdr:row>138</xdr:row>
      <xdr:rowOff>276225</xdr:rowOff>
    </xdr:from>
    <xdr:to>
      <xdr:col>19</xdr:col>
      <xdr:colOff>304800</xdr:colOff>
      <xdr:row>139</xdr:row>
      <xdr:rowOff>19050</xdr:rowOff>
    </xdr:to>
    <xdr:pic>
      <xdr:nvPicPr>
        <xdr:cNvPr id="104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305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</xdr:col>
      <xdr:colOff>266700</xdr:colOff>
      <xdr:row>138</xdr:row>
      <xdr:rowOff>276225</xdr:rowOff>
    </xdr:from>
    <xdr:to>
      <xdr:col>20</xdr:col>
      <xdr:colOff>314325</xdr:colOff>
      <xdr:row>139</xdr:row>
      <xdr:rowOff>19050</xdr:rowOff>
    </xdr:to>
    <xdr:pic>
      <xdr:nvPicPr>
        <xdr:cNvPr id="104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</xdr:col>
      <xdr:colOff>266700</xdr:colOff>
      <xdr:row>138</xdr:row>
      <xdr:rowOff>276225</xdr:rowOff>
    </xdr:from>
    <xdr:to>
      <xdr:col>21</xdr:col>
      <xdr:colOff>304800</xdr:colOff>
      <xdr:row>139</xdr:row>
      <xdr:rowOff>19050</xdr:rowOff>
    </xdr:to>
    <xdr:pic>
      <xdr:nvPicPr>
        <xdr:cNvPr id="104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</xdr:col>
      <xdr:colOff>266700</xdr:colOff>
      <xdr:row>138</xdr:row>
      <xdr:rowOff>276225</xdr:rowOff>
    </xdr:from>
    <xdr:to>
      <xdr:col>22</xdr:col>
      <xdr:colOff>314325</xdr:colOff>
      <xdr:row>139</xdr:row>
      <xdr:rowOff>19050</xdr:rowOff>
    </xdr:to>
    <xdr:pic>
      <xdr:nvPicPr>
        <xdr:cNvPr id="104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308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</xdr:col>
      <xdr:colOff>266700</xdr:colOff>
      <xdr:row>138</xdr:row>
      <xdr:rowOff>276225</xdr:rowOff>
    </xdr:from>
    <xdr:to>
      <xdr:col>23</xdr:col>
      <xdr:colOff>314325</xdr:colOff>
      <xdr:row>139</xdr:row>
      <xdr:rowOff>19050</xdr:rowOff>
    </xdr:to>
    <xdr:pic>
      <xdr:nvPicPr>
        <xdr:cNvPr id="105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642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</xdr:col>
      <xdr:colOff>266700</xdr:colOff>
      <xdr:row>138</xdr:row>
      <xdr:rowOff>276225</xdr:rowOff>
    </xdr:from>
    <xdr:to>
      <xdr:col>24</xdr:col>
      <xdr:colOff>314325</xdr:colOff>
      <xdr:row>139</xdr:row>
      <xdr:rowOff>19050</xdr:rowOff>
    </xdr:to>
    <xdr:pic>
      <xdr:nvPicPr>
        <xdr:cNvPr id="105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977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</xdr:col>
      <xdr:colOff>266700</xdr:colOff>
      <xdr:row>138</xdr:row>
      <xdr:rowOff>276225</xdr:rowOff>
    </xdr:from>
    <xdr:to>
      <xdr:col>25</xdr:col>
      <xdr:colOff>314325</xdr:colOff>
      <xdr:row>139</xdr:row>
      <xdr:rowOff>19050</xdr:rowOff>
    </xdr:to>
    <xdr:pic>
      <xdr:nvPicPr>
        <xdr:cNvPr id="105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311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26</xdr:col>
      <xdr:colOff>266700</xdr:colOff>
      <xdr:row>138</xdr:row>
      <xdr:rowOff>276225</xdr:rowOff>
    </xdr:from>
    <xdr:to>
      <xdr:col>26</xdr:col>
      <xdr:colOff>304800</xdr:colOff>
      <xdr:row>139</xdr:row>
      <xdr:rowOff>19050</xdr:rowOff>
    </xdr:to>
    <xdr:pic>
      <xdr:nvPicPr>
        <xdr:cNvPr id="105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45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27</xdr:col>
      <xdr:colOff>266700</xdr:colOff>
      <xdr:row>138</xdr:row>
      <xdr:rowOff>276225</xdr:rowOff>
    </xdr:from>
    <xdr:to>
      <xdr:col>27</xdr:col>
      <xdr:colOff>314325</xdr:colOff>
      <xdr:row>139</xdr:row>
      <xdr:rowOff>19050</xdr:rowOff>
    </xdr:to>
    <xdr:pic>
      <xdr:nvPicPr>
        <xdr:cNvPr id="105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9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28</xdr:col>
      <xdr:colOff>266700</xdr:colOff>
      <xdr:row>138</xdr:row>
      <xdr:rowOff>276225</xdr:rowOff>
    </xdr:from>
    <xdr:to>
      <xdr:col>28</xdr:col>
      <xdr:colOff>314325</xdr:colOff>
      <xdr:row>139</xdr:row>
      <xdr:rowOff>19050</xdr:rowOff>
    </xdr:to>
    <xdr:pic>
      <xdr:nvPicPr>
        <xdr:cNvPr id="105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14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29</xdr:col>
      <xdr:colOff>266700</xdr:colOff>
      <xdr:row>138</xdr:row>
      <xdr:rowOff>276225</xdr:rowOff>
    </xdr:from>
    <xdr:to>
      <xdr:col>29</xdr:col>
      <xdr:colOff>314325</xdr:colOff>
      <xdr:row>139</xdr:row>
      <xdr:rowOff>19050</xdr:rowOff>
    </xdr:to>
    <xdr:pic>
      <xdr:nvPicPr>
        <xdr:cNvPr id="105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648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30</xdr:col>
      <xdr:colOff>266700</xdr:colOff>
      <xdr:row>138</xdr:row>
      <xdr:rowOff>276225</xdr:rowOff>
    </xdr:from>
    <xdr:to>
      <xdr:col>30</xdr:col>
      <xdr:colOff>314325</xdr:colOff>
      <xdr:row>139</xdr:row>
      <xdr:rowOff>19050</xdr:rowOff>
    </xdr:to>
    <xdr:pic>
      <xdr:nvPicPr>
        <xdr:cNvPr id="105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31</xdr:col>
      <xdr:colOff>266700</xdr:colOff>
      <xdr:row>138</xdr:row>
      <xdr:rowOff>276225</xdr:rowOff>
    </xdr:from>
    <xdr:to>
      <xdr:col>31</xdr:col>
      <xdr:colOff>314325</xdr:colOff>
      <xdr:row>139</xdr:row>
      <xdr:rowOff>19050</xdr:rowOff>
    </xdr:to>
    <xdr:pic>
      <xdr:nvPicPr>
        <xdr:cNvPr id="105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316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32</xdr:col>
      <xdr:colOff>266700</xdr:colOff>
      <xdr:row>138</xdr:row>
      <xdr:rowOff>276225</xdr:rowOff>
    </xdr:from>
    <xdr:to>
      <xdr:col>32</xdr:col>
      <xdr:colOff>314325</xdr:colOff>
      <xdr:row>139</xdr:row>
      <xdr:rowOff>19050</xdr:rowOff>
    </xdr:to>
    <xdr:pic>
      <xdr:nvPicPr>
        <xdr:cNvPr id="105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651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33</xdr:col>
      <xdr:colOff>266700</xdr:colOff>
      <xdr:row>138</xdr:row>
      <xdr:rowOff>276225</xdr:rowOff>
    </xdr:from>
    <xdr:to>
      <xdr:col>33</xdr:col>
      <xdr:colOff>304800</xdr:colOff>
      <xdr:row>139</xdr:row>
      <xdr:rowOff>19050</xdr:rowOff>
    </xdr:to>
    <xdr:pic>
      <xdr:nvPicPr>
        <xdr:cNvPr id="106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985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34</xdr:col>
      <xdr:colOff>266700</xdr:colOff>
      <xdr:row>138</xdr:row>
      <xdr:rowOff>276225</xdr:rowOff>
    </xdr:from>
    <xdr:to>
      <xdr:col>34</xdr:col>
      <xdr:colOff>314325</xdr:colOff>
      <xdr:row>139</xdr:row>
      <xdr:rowOff>19050</xdr:rowOff>
    </xdr:to>
    <xdr:pic>
      <xdr:nvPicPr>
        <xdr:cNvPr id="106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319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35</xdr:col>
      <xdr:colOff>266700</xdr:colOff>
      <xdr:row>138</xdr:row>
      <xdr:rowOff>276225</xdr:rowOff>
    </xdr:from>
    <xdr:to>
      <xdr:col>35</xdr:col>
      <xdr:colOff>314325</xdr:colOff>
      <xdr:row>139</xdr:row>
      <xdr:rowOff>19050</xdr:rowOff>
    </xdr:to>
    <xdr:pic>
      <xdr:nvPicPr>
        <xdr:cNvPr id="106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653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36</xdr:col>
      <xdr:colOff>266700</xdr:colOff>
      <xdr:row>138</xdr:row>
      <xdr:rowOff>276225</xdr:rowOff>
    </xdr:from>
    <xdr:to>
      <xdr:col>36</xdr:col>
      <xdr:colOff>314325</xdr:colOff>
      <xdr:row>139</xdr:row>
      <xdr:rowOff>19050</xdr:rowOff>
    </xdr:to>
    <xdr:pic>
      <xdr:nvPicPr>
        <xdr:cNvPr id="106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37</xdr:col>
      <xdr:colOff>266700</xdr:colOff>
      <xdr:row>138</xdr:row>
      <xdr:rowOff>276225</xdr:rowOff>
    </xdr:from>
    <xdr:to>
      <xdr:col>37</xdr:col>
      <xdr:colOff>314325</xdr:colOff>
      <xdr:row>139</xdr:row>
      <xdr:rowOff>19050</xdr:rowOff>
    </xdr:to>
    <xdr:pic>
      <xdr:nvPicPr>
        <xdr:cNvPr id="106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322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38</xdr:col>
      <xdr:colOff>266700</xdr:colOff>
      <xdr:row>138</xdr:row>
      <xdr:rowOff>276225</xdr:rowOff>
    </xdr:from>
    <xdr:to>
      <xdr:col>38</xdr:col>
      <xdr:colOff>304800</xdr:colOff>
      <xdr:row>139</xdr:row>
      <xdr:rowOff>19050</xdr:rowOff>
    </xdr:to>
    <xdr:pic>
      <xdr:nvPicPr>
        <xdr:cNvPr id="106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656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39</xdr:col>
      <xdr:colOff>266700</xdr:colOff>
      <xdr:row>138</xdr:row>
      <xdr:rowOff>276225</xdr:rowOff>
    </xdr:from>
    <xdr:to>
      <xdr:col>39</xdr:col>
      <xdr:colOff>304800</xdr:colOff>
      <xdr:row>139</xdr:row>
      <xdr:rowOff>19050</xdr:rowOff>
    </xdr:to>
    <xdr:pic>
      <xdr:nvPicPr>
        <xdr:cNvPr id="106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990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40</xdr:col>
      <xdr:colOff>266700</xdr:colOff>
      <xdr:row>138</xdr:row>
      <xdr:rowOff>276225</xdr:rowOff>
    </xdr:from>
    <xdr:to>
      <xdr:col>40</xdr:col>
      <xdr:colOff>314325</xdr:colOff>
      <xdr:row>139</xdr:row>
      <xdr:rowOff>19050</xdr:rowOff>
    </xdr:to>
    <xdr:pic>
      <xdr:nvPicPr>
        <xdr:cNvPr id="106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41</xdr:col>
      <xdr:colOff>266700</xdr:colOff>
      <xdr:row>138</xdr:row>
      <xdr:rowOff>276225</xdr:rowOff>
    </xdr:from>
    <xdr:to>
      <xdr:col>41</xdr:col>
      <xdr:colOff>314325</xdr:colOff>
      <xdr:row>139</xdr:row>
      <xdr:rowOff>19050</xdr:rowOff>
    </xdr:to>
    <xdr:pic>
      <xdr:nvPicPr>
        <xdr:cNvPr id="106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659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42</xdr:col>
      <xdr:colOff>266700</xdr:colOff>
      <xdr:row>138</xdr:row>
      <xdr:rowOff>276225</xdr:rowOff>
    </xdr:from>
    <xdr:to>
      <xdr:col>42</xdr:col>
      <xdr:colOff>314325</xdr:colOff>
      <xdr:row>139</xdr:row>
      <xdr:rowOff>19050</xdr:rowOff>
    </xdr:to>
    <xdr:pic>
      <xdr:nvPicPr>
        <xdr:cNvPr id="106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993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43</xdr:col>
      <xdr:colOff>266700</xdr:colOff>
      <xdr:row>138</xdr:row>
      <xdr:rowOff>276225</xdr:rowOff>
    </xdr:from>
    <xdr:to>
      <xdr:col>43</xdr:col>
      <xdr:colOff>314325</xdr:colOff>
      <xdr:row>139</xdr:row>
      <xdr:rowOff>19050</xdr:rowOff>
    </xdr:to>
    <xdr:pic>
      <xdr:nvPicPr>
        <xdr:cNvPr id="107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327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44</xdr:col>
      <xdr:colOff>266700</xdr:colOff>
      <xdr:row>138</xdr:row>
      <xdr:rowOff>276225</xdr:rowOff>
    </xdr:from>
    <xdr:to>
      <xdr:col>44</xdr:col>
      <xdr:colOff>314325</xdr:colOff>
      <xdr:row>139</xdr:row>
      <xdr:rowOff>19050</xdr:rowOff>
    </xdr:to>
    <xdr:pic>
      <xdr:nvPicPr>
        <xdr:cNvPr id="107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662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45</xdr:col>
      <xdr:colOff>266700</xdr:colOff>
      <xdr:row>138</xdr:row>
      <xdr:rowOff>276225</xdr:rowOff>
    </xdr:from>
    <xdr:to>
      <xdr:col>45</xdr:col>
      <xdr:colOff>304800</xdr:colOff>
      <xdr:row>139</xdr:row>
      <xdr:rowOff>19050</xdr:rowOff>
    </xdr:to>
    <xdr:pic>
      <xdr:nvPicPr>
        <xdr:cNvPr id="107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996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46</xdr:col>
      <xdr:colOff>266700</xdr:colOff>
      <xdr:row>138</xdr:row>
      <xdr:rowOff>276225</xdr:rowOff>
    </xdr:from>
    <xdr:to>
      <xdr:col>46</xdr:col>
      <xdr:colOff>304800</xdr:colOff>
      <xdr:row>139</xdr:row>
      <xdr:rowOff>19050</xdr:rowOff>
    </xdr:to>
    <xdr:pic>
      <xdr:nvPicPr>
        <xdr:cNvPr id="107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330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47</xdr:col>
      <xdr:colOff>266700</xdr:colOff>
      <xdr:row>138</xdr:row>
      <xdr:rowOff>276225</xdr:rowOff>
    </xdr:from>
    <xdr:to>
      <xdr:col>47</xdr:col>
      <xdr:colOff>314325</xdr:colOff>
      <xdr:row>139</xdr:row>
      <xdr:rowOff>19050</xdr:rowOff>
    </xdr:to>
    <xdr:pic>
      <xdr:nvPicPr>
        <xdr:cNvPr id="107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664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48</xdr:col>
      <xdr:colOff>266700</xdr:colOff>
      <xdr:row>138</xdr:row>
      <xdr:rowOff>276225</xdr:rowOff>
    </xdr:from>
    <xdr:to>
      <xdr:col>48</xdr:col>
      <xdr:colOff>304800</xdr:colOff>
      <xdr:row>139</xdr:row>
      <xdr:rowOff>19050</xdr:rowOff>
    </xdr:to>
    <xdr:pic>
      <xdr:nvPicPr>
        <xdr:cNvPr id="107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999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49</xdr:col>
      <xdr:colOff>266700</xdr:colOff>
      <xdr:row>138</xdr:row>
      <xdr:rowOff>276225</xdr:rowOff>
    </xdr:from>
    <xdr:to>
      <xdr:col>49</xdr:col>
      <xdr:colOff>314325</xdr:colOff>
      <xdr:row>139</xdr:row>
      <xdr:rowOff>19050</xdr:rowOff>
    </xdr:to>
    <xdr:pic>
      <xdr:nvPicPr>
        <xdr:cNvPr id="107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333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50</xdr:col>
      <xdr:colOff>266700</xdr:colOff>
      <xdr:row>138</xdr:row>
      <xdr:rowOff>276225</xdr:rowOff>
    </xdr:from>
    <xdr:to>
      <xdr:col>50</xdr:col>
      <xdr:colOff>314325</xdr:colOff>
      <xdr:row>139</xdr:row>
      <xdr:rowOff>19050</xdr:rowOff>
    </xdr:to>
    <xdr:pic>
      <xdr:nvPicPr>
        <xdr:cNvPr id="107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51</xdr:col>
      <xdr:colOff>266700</xdr:colOff>
      <xdr:row>138</xdr:row>
      <xdr:rowOff>276225</xdr:rowOff>
    </xdr:from>
    <xdr:to>
      <xdr:col>51</xdr:col>
      <xdr:colOff>314325</xdr:colOff>
      <xdr:row>139</xdr:row>
      <xdr:rowOff>19050</xdr:rowOff>
    </xdr:to>
    <xdr:pic>
      <xdr:nvPicPr>
        <xdr:cNvPr id="107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001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52</xdr:col>
      <xdr:colOff>266700</xdr:colOff>
      <xdr:row>138</xdr:row>
      <xdr:rowOff>276225</xdr:rowOff>
    </xdr:from>
    <xdr:to>
      <xdr:col>52</xdr:col>
      <xdr:colOff>314325</xdr:colOff>
      <xdr:row>139</xdr:row>
      <xdr:rowOff>19050</xdr:rowOff>
    </xdr:to>
    <xdr:pic>
      <xdr:nvPicPr>
        <xdr:cNvPr id="107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336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53</xdr:col>
      <xdr:colOff>266700</xdr:colOff>
      <xdr:row>138</xdr:row>
      <xdr:rowOff>276225</xdr:rowOff>
    </xdr:from>
    <xdr:to>
      <xdr:col>53</xdr:col>
      <xdr:colOff>304800</xdr:colOff>
      <xdr:row>139</xdr:row>
      <xdr:rowOff>19050</xdr:rowOff>
    </xdr:to>
    <xdr:pic>
      <xdr:nvPicPr>
        <xdr:cNvPr id="108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670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54</xdr:col>
      <xdr:colOff>266700</xdr:colOff>
      <xdr:row>138</xdr:row>
      <xdr:rowOff>276225</xdr:rowOff>
    </xdr:from>
    <xdr:to>
      <xdr:col>54</xdr:col>
      <xdr:colOff>314325</xdr:colOff>
      <xdr:row>139</xdr:row>
      <xdr:rowOff>19050</xdr:rowOff>
    </xdr:to>
    <xdr:pic>
      <xdr:nvPicPr>
        <xdr:cNvPr id="108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004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55</xdr:col>
      <xdr:colOff>266700</xdr:colOff>
      <xdr:row>138</xdr:row>
      <xdr:rowOff>276225</xdr:rowOff>
    </xdr:from>
    <xdr:to>
      <xdr:col>55</xdr:col>
      <xdr:colOff>304800</xdr:colOff>
      <xdr:row>139</xdr:row>
      <xdr:rowOff>19050</xdr:rowOff>
    </xdr:to>
    <xdr:pic>
      <xdr:nvPicPr>
        <xdr:cNvPr id="108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338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56</xdr:col>
      <xdr:colOff>266700</xdr:colOff>
      <xdr:row>138</xdr:row>
      <xdr:rowOff>276225</xdr:rowOff>
    </xdr:from>
    <xdr:to>
      <xdr:col>56</xdr:col>
      <xdr:colOff>314325</xdr:colOff>
      <xdr:row>139</xdr:row>
      <xdr:rowOff>19050</xdr:rowOff>
    </xdr:to>
    <xdr:pic>
      <xdr:nvPicPr>
        <xdr:cNvPr id="108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673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57</xdr:col>
      <xdr:colOff>266700</xdr:colOff>
      <xdr:row>138</xdr:row>
      <xdr:rowOff>276225</xdr:rowOff>
    </xdr:from>
    <xdr:to>
      <xdr:col>57</xdr:col>
      <xdr:colOff>314325</xdr:colOff>
      <xdr:row>139</xdr:row>
      <xdr:rowOff>19050</xdr:rowOff>
    </xdr:to>
    <xdr:pic>
      <xdr:nvPicPr>
        <xdr:cNvPr id="108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007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58</xdr:col>
      <xdr:colOff>266700</xdr:colOff>
      <xdr:row>138</xdr:row>
      <xdr:rowOff>276225</xdr:rowOff>
    </xdr:from>
    <xdr:to>
      <xdr:col>58</xdr:col>
      <xdr:colOff>314325</xdr:colOff>
      <xdr:row>139</xdr:row>
      <xdr:rowOff>19050</xdr:rowOff>
    </xdr:to>
    <xdr:pic>
      <xdr:nvPicPr>
        <xdr:cNvPr id="108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341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59</xdr:col>
      <xdr:colOff>266700</xdr:colOff>
      <xdr:row>138</xdr:row>
      <xdr:rowOff>276225</xdr:rowOff>
    </xdr:from>
    <xdr:to>
      <xdr:col>59</xdr:col>
      <xdr:colOff>314325</xdr:colOff>
      <xdr:row>139</xdr:row>
      <xdr:rowOff>19050</xdr:rowOff>
    </xdr:to>
    <xdr:pic>
      <xdr:nvPicPr>
        <xdr:cNvPr id="108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675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60</xdr:col>
      <xdr:colOff>266700</xdr:colOff>
      <xdr:row>138</xdr:row>
      <xdr:rowOff>276225</xdr:rowOff>
    </xdr:from>
    <xdr:to>
      <xdr:col>60</xdr:col>
      <xdr:colOff>314325</xdr:colOff>
      <xdr:row>139</xdr:row>
      <xdr:rowOff>19050</xdr:rowOff>
    </xdr:to>
    <xdr:pic>
      <xdr:nvPicPr>
        <xdr:cNvPr id="108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61</xdr:col>
      <xdr:colOff>266700</xdr:colOff>
      <xdr:row>138</xdr:row>
      <xdr:rowOff>276225</xdr:rowOff>
    </xdr:from>
    <xdr:to>
      <xdr:col>61</xdr:col>
      <xdr:colOff>314325</xdr:colOff>
      <xdr:row>139</xdr:row>
      <xdr:rowOff>19050</xdr:rowOff>
    </xdr:to>
    <xdr:pic>
      <xdr:nvPicPr>
        <xdr:cNvPr id="108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344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62</xdr:col>
      <xdr:colOff>266700</xdr:colOff>
      <xdr:row>138</xdr:row>
      <xdr:rowOff>276225</xdr:rowOff>
    </xdr:from>
    <xdr:to>
      <xdr:col>62</xdr:col>
      <xdr:colOff>304800</xdr:colOff>
      <xdr:row>139</xdr:row>
      <xdr:rowOff>19050</xdr:rowOff>
    </xdr:to>
    <xdr:pic>
      <xdr:nvPicPr>
        <xdr:cNvPr id="108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678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63</xdr:col>
      <xdr:colOff>266700</xdr:colOff>
      <xdr:row>138</xdr:row>
      <xdr:rowOff>276225</xdr:rowOff>
    </xdr:from>
    <xdr:to>
      <xdr:col>63</xdr:col>
      <xdr:colOff>314325</xdr:colOff>
      <xdr:row>139</xdr:row>
      <xdr:rowOff>19050</xdr:rowOff>
    </xdr:to>
    <xdr:pic>
      <xdr:nvPicPr>
        <xdr:cNvPr id="109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012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64</xdr:col>
      <xdr:colOff>266700</xdr:colOff>
      <xdr:row>138</xdr:row>
      <xdr:rowOff>276225</xdr:rowOff>
    </xdr:from>
    <xdr:to>
      <xdr:col>64</xdr:col>
      <xdr:colOff>314325</xdr:colOff>
      <xdr:row>139</xdr:row>
      <xdr:rowOff>19050</xdr:rowOff>
    </xdr:to>
    <xdr:pic>
      <xdr:nvPicPr>
        <xdr:cNvPr id="109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347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65</xdr:col>
      <xdr:colOff>266700</xdr:colOff>
      <xdr:row>138</xdr:row>
      <xdr:rowOff>276225</xdr:rowOff>
    </xdr:from>
    <xdr:to>
      <xdr:col>65</xdr:col>
      <xdr:colOff>314325</xdr:colOff>
      <xdr:row>139</xdr:row>
      <xdr:rowOff>19050</xdr:rowOff>
    </xdr:to>
    <xdr:pic>
      <xdr:nvPicPr>
        <xdr:cNvPr id="109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81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66</xdr:col>
      <xdr:colOff>266700</xdr:colOff>
      <xdr:row>138</xdr:row>
      <xdr:rowOff>276225</xdr:rowOff>
    </xdr:from>
    <xdr:to>
      <xdr:col>66</xdr:col>
      <xdr:colOff>314325</xdr:colOff>
      <xdr:row>139</xdr:row>
      <xdr:rowOff>19050</xdr:rowOff>
    </xdr:to>
    <xdr:pic>
      <xdr:nvPicPr>
        <xdr:cNvPr id="109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015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67</xdr:col>
      <xdr:colOff>266700</xdr:colOff>
      <xdr:row>138</xdr:row>
      <xdr:rowOff>276225</xdr:rowOff>
    </xdr:from>
    <xdr:to>
      <xdr:col>67</xdr:col>
      <xdr:colOff>314325</xdr:colOff>
      <xdr:row>139</xdr:row>
      <xdr:rowOff>19050</xdr:rowOff>
    </xdr:to>
    <xdr:pic>
      <xdr:nvPicPr>
        <xdr:cNvPr id="109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349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68</xdr:col>
      <xdr:colOff>266700</xdr:colOff>
      <xdr:row>138</xdr:row>
      <xdr:rowOff>276225</xdr:rowOff>
    </xdr:from>
    <xdr:to>
      <xdr:col>68</xdr:col>
      <xdr:colOff>314325</xdr:colOff>
      <xdr:row>139</xdr:row>
      <xdr:rowOff>19050</xdr:rowOff>
    </xdr:to>
    <xdr:pic>
      <xdr:nvPicPr>
        <xdr:cNvPr id="109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84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69</xdr:col>
      <xdr:colOff>266700</xdr:colOff>
      <xdr:row>138</xdr:row>
      <xdr:rowOff>276225</xdr:rowOff>
    </xdr:from>
    <xdr:to>
      <xdr:col>69</xdr:col>
      <xdr:colOff>304800</xdr:colOff>
      <xdr:row>139</xdr:row>
      <xdr:rowOff>19050</xdr:rowOff>
    </xdr:to>
    <xdr:pic>
      <xdr:nvPicPr>
        <xdr:cNvPr id="109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018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70</xdr:col>
      <xdr:colOff>266700</xdr:colOff>
      <xdr:row>138</xdr:row>
      <xdr:rowOff>276225</xdr:rowOff>
    </xdr:from>
    <xdr:to>
      <xdr:col>70</xdr:col>
      <xdr:colOff>314325</xdr:colOff>
      <xdr:row>139</xdr:row>
      <xdr:rowOff>19050</xdr:rowOff>
    </xdr:to>
    <xdr:pic>
      <xdr:nvPicPr>
        <xdr:cNvPr id="109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71</xdr:col>
      <xdr:colOff>266700</xdr:colOff>
      <xdr:row>138</xdr:row>
      <xdr:rowOff>276225</xdr:rowOff>
    </xdr:from>
    <xdr:to>
      <xdr:col>71</xdr:col>
      <xdr:colOff>304800</xdr:colOff>
      <xdr:row>139</xdr:row>
      <xdr:rowOff>19050</xdr:rowOff>
    </xdr:to>
    <xdr:pic>
      <xdr:nvPicPr>
        <xdr:cNvPr id="109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686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72</xdr:col>
      <xdr:colOff>266700</xdr:colOff>
      <xdr:row>138</xdr:row>
      <xdr:rowOff>276225</xdr:rowOff>
    </xdr:from>
    <xdr:to>
      <xdr:col>72</xdr:col>
      <xdr:colOff>314325</xdr:colOff>
      <xdr:row>139</xdr:row>
      <xdr:rowOff>19050</xdr:rowOff>
    </xdr:to>
    <xdr:pic>
      <xdr:nvPicPr>
        <xdr:cNvPr id="109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021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73</xdr:col>
      <xdr:colOff>266700</xdr:colOff>
      <xdr:row>138</xdr:row>
      <xdr:rowOff>276225</xdr:rowOff>
    </xdr:from>
    <xdr:to>
      <xdr:col>73</xdr:col>
      <xdr:colOff>314325</xdr:colOff>
      <xdr:row>139</xdr:row>
      <xdr:rowOff>19050</xdr:rowOff>
    </xdr:to>
    <xdr:pic>
      <xdr:nvPicPr>
        <xdr:cNvPr id="110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355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74</xdr:col>
      <xdr:colOff>266700</xdr:colOff>
      <xdr:row>138</xdr:row>
      <xdr:rowOff>276225</xdr:rowOff>
    </xdr:from>
    <xdr:to>
      <xdr:col>74</xdr:col>
      <xdr:colOff>314325</xdr:colOff>
      <xdr:row>139</xdr:row>
      <xdr:rowOff>19050</xdr:rowOff>
    </xdr:to>
    <xdr:pic>
      <xdr:nvPicPr>
        <xdr:cNvPr id="110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689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75</xdr:col>
      <xdr:colOff>266700</xdr:colOff>
      <xdr:row>138</xdr:row>
      <xdr:rowOff>276225</xdr:rowOff>
    </xdr:from>
    <xdr:to>
      <xdr:col>75</xdr:col>
      <xdr:colOff>314325</xdr:colOff>
      <xdr:row>139</xdr:row>
      <xdr:rowOff>19050</xdr:rowOff>
    </xdr:to>
    <xdr:pic>
      <xdr:nvPicPr>
        <xdr:cNvPr id="110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023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76</xdr:col>
      <xdr:colOff>266700</xdr:colOff>
      <xdr:row>138</xdr:row>
      <xdr:rowOff>276225</xdr:rowOff>
    </xdr:from>
    <xdr:to>
      <xdr:col>76</xdr:col>
      <xdr:colOff>304800</xdr:colOff>
      <xdr:row>139</xdr:row>
      <xdr:rowOff>19050</xdr:rowOff>
    </xdr:to>
    <xdr:pic>
      <xdr:nvPicPr>
        <xdr:cNvPr id="110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358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77</xdr:col>
      <xdr:colOff>266700</xdr:colOff>
      <xdr:row>138</xdr:row>
      <xdr:rowOff>276225</xdr:rowOff>
    </xdr:from>
    <xdr:to>
      <xdr:col>77</xdr:col>
      <xdr:colOff>314325</xdr:colOff>
      <xdr:row>139</xdr:row>
      <xdr:rowOff>19050</xdr:rowOff>
    </xdr:to>
    <xdr:pic>
      <xdr:nvPicPr>
        <xdr:cNvPr id="110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692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78</xdr:col>
      <xdr:colOff>266700</xdr:colOff>
      <xdr:row>138</xdr:row>
      <xdr:rowOff>276225</xdr:rowOff>
    </xdr:from>
    <xdr:to>
      <xdr:col>78</xdr:col>
      <xdr:colOff>304800</xdr:colOff>
      <xdr:row>139</xdr:row>
      <xdr:rowOff>19050</xdr:rowOff>
    </xdr:to>
    <xdr:pic>
      <xdr:nvPicPr>
        <xdr:cNvPr id="110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026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79</xdr:col>
      <xdr:colOff>266700</xdr:colOff>
      <xdr:row>138</xdr:row>
      <xdr:rowOff>276225</xdr:rowOff>
    </xdr:from>
    <xdr:to>
      <xdr:col>79</xdr:col>
      <xdr:colOff>314325</xdr:colOff>
      <xdr:row>139</xdr:row>
      <xdr:rowOff>19050</xdr:rowOff>
    </xdr:to>
    <xdr:pic>
      <xdr:nvPicPr>
        <xdr:cNvPr id="110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360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80</xdr:col>
      <xdr:colOff>266700</xdr:colOff>
      <xdr:row>138</xdr:row>
      <xdr:rowOff>276225</xdr:rowOff>
    </xdr:from>
    <xdr:to>
      <xdr:col>80</xdr:col>
      <xdr:colOff>314325</xdr:colOff>
      <xdr:row>139</xdr:row>
      <xdr:rowOff>19050</xdr:rowOff>
    </xdr:to>
    <xdr:pic>
      <xdr:nvPicPr>
        <xdr:cNvPr id="110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81</xdr:col>
      <xdr:colOff>266700</xdr:colOff>
      <xdr:row>138</xdr:row>
      <xdr:rowOff>276225</xdr:rowOff>
    </xdr:from>
    <xdr:to>
      <xdr:col>81</xdr:col>
      <xdr:colOff>304800</xdr:colOff>
      <xdr:row>139</xdr:row>
      <xdr:rowOff>19050</xdr:rowOff>
    </xdr:to>
    <xdr:pic>
      <xdr:nvPicPr>
        <xdr:cNvPr id="110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029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82</xdr:col>
      <xdr:colOff>266700</xdr:colOff>
      <xdr:row>138</xdr:row>
      <xdr:rowOff>276225</xdr:rowOff>
    </xdr:from>
    <xdr:to>
      <xdr:col>82</xdr:col>
      <xdr:colOff>314325</xdr:colOff>
      <xdr:row>139</xdr:row>
      <xdr:rowOff>19050</xdr:rowOff>
    </xdr:to>
    <xdr:pic>
      <xdr:nvPicPr>
        <xdr:cNvPr id="110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63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83</xdr:col>
      <xdr:colOff>266700</xdr:colOff>
      <xdr:row>138</xdr:row>
      <xdr:rowOff>276225</xdr:rowOff>
    </xdr:from>
    <xdr:to>
      <xdr:col>83</xdr:col>
      <xdr:colOff>304800</xdr:colOff>
      <xdr:row>139</xdr:row>
      <xdr:rowOff>19050</xdr:rowOff>
    </xdr:to>
    <xdr:pic>
      <xdr:nvPicPr>
        <xdr:cNvPr id="111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97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84</xdr:col>
      <xdr:colOff>266700</xdr:colOff>
      <xdr:row>138</xdr:row>
      <xdr:rowOff>276225</xdr:rowOff>
    </xdr:from>
    <xdr:to>
      <xdr:col>84</xdr:col>
      <xdr:colOff>314325</xdr:colOff>
      <xdr:row>139</xdr:row>
      <xdr:rowOff>19050</xdr:rowOff>
    </xdr:to>
    <xdr:pic>
      <xdr:nvPicPr>
        <xdr:cNvPr id="111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032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85</xdr:col>
      <xdr:colOff>266700</xdr:colOff>
      <xdr:row>138</xdr:row>
      <xdr:rowOff>276225</xdr:rowOff>
    </xdr:from>
    <xdr:to>
      <xdr:col>85</xdr:col>
      <xdr:colOff>314325</xdr:colOff>
      <xdr:row>139</xdr:row>
      <xdr:rowOff>19050</xdr:rowOff>
    </xdr:to>
    <xdr:pic>
      <xdr:nvPicPr>
        <xdr:cNvPr id="111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366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86</xdr:col>
      <xdr:colOff>266700</xdr:colOff>
      <xdr:row>138</xdr:row>
      <xdr:rowOff>276225</xdr:rowOff>
    </xdr:from>
    <xdr:to>
      <xdr:col>86</xdr:col>
      <xdr:colOff>314325</xdr:colOff>
      <xdr:row>139</xdr:row>
      <xdr:rowOff>19050</xdr:rowOff>
    </xdr:to>
    <xdr:pic>
      <xdr:nvPicPr>
        <xdr:cNvPr id="111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700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87</xdr:col>
      <xdr:colOff>266700</xdr:colOff>
      <xdr:row>138</xdr:row>
      <xdr:rowOff>276225</xdr:rowOff>
    </xdr:from>
    <xdr:to>
      <xdr:col>87</xdr:col>
      <xdr:colOff>314325</xdr:colOff>
      <xdr:row>139</xdr:row>
      <xdr:rowOff>19050</xdr:rowOff>
    </xdr:to>
    <xdr:pic>
      <xdr:nvPicPr>
        <xdr:cNvPr id="111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034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88</xdr:col>
      <xdr:colOff>266700</xdr:colOff>
      <xdr:row>138</xdr:row>
      <xdr:rowOff>276225</xdr:rowOff>
    </xdr:from>
    <xdr:to>
      <xdr:col>88</xdr:col>
      <xdr:colOff>304800</xdr:colOff>
      <xdr:row>139</xdr:row>
      <xdr:rowOff>19050</xdr:rowOff>
    </xdr:to>
    <xdr:pic>
      <xdr:nvPicPr>
        <xdr:cNvPr id="111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369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89</xdr:col>
      <xdr:colOff>266700</xdr:colOff>
      <xdr:row>138</xdr:row>
      <xdr:rowOff>276225</xdr:rowOff>
    </xdr:from>
    <xdr:to>
      <xdr:col>89</xdr:col>
      <xdr:colOff>314325</xdr:colOff>
      <xdr:row>139</xdr:row>
      <xdr:rowOff>19050</xdr:rowOff>
    </xdr:to>
    <xdr:pic>
      <xdr:nvPicPr>
        <xdr:cNvPr id="111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703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90</xdr:col>
      <xdr:colOff>266700</xdr:colOff>
      <xdr:row>138</xdr:row>
      <xdr:rowOff>276225</xdr:rowOff>
    </xdr:from>
    <xdr:to>
      <xdr:col>90</xdr:col>
      <xdr:colOff>314325</xdr:colOff>
      <xdr:row>139</xdr:row>
      <xdr:rowOff>19050</xdr:rowOff>
    </xdr:to>
    <xdr:pic>
      <xdr:nvPicPr>
        <xdr:cNvPr id="111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91</xdr:col>
      <xdr:colOff>266700</xdr:colOff>
      <xdr:row>138</xdr:row>
      <xdr:rowOff>276225</xdr:rowOff>
    </xdr:from>
    <xdr:to>
      <xdr:col>91</xdr:col>
      <xdr:colOff>314325</xdr:colOff>
      <xdr:row>139</xdr:row>
      <xdr:rowOff>19050</xdr:rowOff>
    </xdr:to>
    <xdr:pic>
      <xdr:nvPicPr>
        <xdr:cNvPr id="111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371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92</xdr:col>
      <xdr:colOff>266700</xdr:colOff>
      <xdr:row>138</xdr:row>
      <xdr:rowOff>276225</xdr:rowOff>
    </xdr:from>
    <xdr:to>
      <xdr:col>92</xdr:col>
      <xdr:colOff>314325</xdr:colOff>
      <xdr:row>139</xdr:row>
      <xdr:rowOff>19050</xdr:rowOff>
    </xdr:to>
    <xdr:pic>
      <xdr:nvPicPr>
        <xdr:cNvPr id="111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706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93</xdr:col>
      <xdr:colOff>266700</xdr:colOff>
      <xdr:row>138</xdr:row>
      <xdr:rowOff>276225</xdr:rowOff>
    </xdr:from>
    <xdr:to>
      <xdr:col>93</xdr:col>
      <xdr:colOff>314325</xdr:colOff>
      <xdr:row>139</xdr:row>
      <xdr:rowOff>19050</xdr:rowOff>
    </xdr:to>
    <xdr:pic>
      <xdr:nvPicPr>
        <xdr:cNvPr id="112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040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94</xdr:col>
      <xdr:colOff>266700</xdr:colOff>
      <xdr:row>138</xdr:row>
      <xdr:rowOff>276225</xdr:rowOff>
    </xdr:from>
    <xdr:to>
      <xdr:col>94</xdr:col>
      <xdr:colOff>314325</xdr:colOff>
      <xdr:row>139</xdr:row>
      <xdr:rowOff>19050</xdr:rowOff>
    </xdr:to>
    <xdr:pic>
      <xdr:nvPicPr>
        <xdr:cNvPr id="112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74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95</xdr:col>
      <xdr:colOff>266700</xdr:colOff>
      <xdr:row>138</xdr:row>
      <xdr:rowOff>276225</xdr:rowOff>
    </xdr:from>
    <xdr:to>
      <xdr:col>95</xdr:col>
      <xdr:colOff>304800</xdr:colOff>
      <xdr:row>139</xdr:row>
      <xdr:rowOff>19050</xdr:rowOff>
    </xdr:to>
    <xdr:pic>
      <xdr:nvPicPr>
        <xdr:cNvPr id="112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708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96</xdr:col>
      <xdr:colOff>266700</xdr:colOff>
      <xdr:row>138</xdr:row>
      <xdr:rowOff>276225</xdr:rowOff>
    </xdr:from>
    <xdr:to>
      <xdr:col>96</xdr:col>
      <xdr:colOff>314325</xdr:colOff>
      <xdr:row>139</xdr:row>
      <xdr:rowOff>19050</xdr:rowOff>
    </xdr:to>
    <xdr:pic>
      <xdr:nvPicPr>
        <xdr:cNvPr id="112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043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97</xdr:col>
      <xdr:colOff>266700</xdr:colOff>
      <xdr:row>138</xdr:row>
      <xdr:rowOff>276225</xdr:rowOff>
    </xdr:from>
    <xdr:to>
      <xdr:col>97</xdr:col>
      <xdr:colOff>314325</xdr:colOff>
      <xdr:row>139</xdr:row>
      <xdr:rowOff>19050</xdr:rowOff>
    </xdr:to>
    <xdr:pic>
      <xdr:nvPicPr>
        <xdr:cNvPr id="112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377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98</xdr:col>
      <xdr:colOff>266700</xdr:colOff>
      <xdr:row>138</xdr:row>
      <xdr:rowOff>276225</xdr:rowOff>
    </xdr:from>
    <xdr:to>
      <xdr:col>98</xdr:col>
      <xdr:colOff>314325</xdr:colOff>
      <xdr:row>139</xdr:row>
      <xdr:rowOff>19050</xdr:rowOff>
    </xdr:to>
    <xdr:pic>
      <xdr:nvPicPr>
        <xdr:cNvPr id="112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11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99</xdr:col>
      <xdr:colOff>266700</xdr:colOff>
      <xdr:row>138</xdr:row>
      <xdr:rowOff>276225</xdr:rowOff>
    </xdr:from>
    <xdr:to>
      <xdr:col>99</xdr:col>
      <xdr:colOff>314325</xdr:colOff>
      <xdr:row>139</xdr:row>
      <xdr:rowOff>19050</xdr:rowOff>
    </xdr:to>
    <xdr:pic>
      <xdr:nvPicPr>
        <xdr:cNvPr id="112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045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100</xdr:col>
      <xdr:colOff>266700</xdr:colOff>
      <xdr:row>138</xdr:row>
      <xdr:rowOff>276225</xdr:rowOff>
    </xdr:from>
    <xdr:to>
      <xdr:col>100</xdr:col>
      <xdr:colOff>304800</xdr:colOff>
      <xdr:row>139</xdr:row>
      <xdr:rowOff>19050</xdr:rowOff>
    </xdr:to>
    <xdr:pic>
      <xdr:nvPicPr>
        <xdr:cNvPr id="112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101</xdr:col>
      <xdr:colOff>266700</xdr:colOff>
      <xdr:row>138</xdr:row>
      <xdr:rowOff>276225</xdr:rowOff>
    </xdr:from>
    <xdr:to>
      <xdr:col>101</xdr:col>
      <xdr:colOff>314325</xdr:colOff>
      <xdr:row>139</xdr:row>
      <xdr:rowOff>19050</xdr:rowOff>
    </xdr:to>
    <xdr:pic>
      <xdr:nvPicPr>
        <xdr:cNvPr id="112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714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102</xdr:col>
      <xdr:colOff>266700</xdr:colOff>
      <xdr:row>138</xdr:row>
      <xdr:rowOff>276225</xdr:rowOff>
    </xdr:from>
    <xdr:to>
      <xdr:col>102</xdr:col>
      <xdr:colOff>314325</xdr:colOff>
      <xdr:row>139</xdr:row>
      <xdr:rowOff>19050</xdr:rowOff>
    </xdr:to>
    <xdr:pic>
      <xdr:nvPicPr>
        <xdr:cNvPr id="112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048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103</xdr:col>
      <xdr:colOff>266700</xdr:colOff>
      <xdr:row>138</xdr:row>
      <xdr:rowOff>276225</xdr:rowOff>
    </xdr:from>
    <xdr:to>
      <xdr:col>103</xdr:col>
      <xdr:colOff>314325</xdr:colOff>
      <xdr:row>139</xdr:row>
      <xdr:rowOff>19050</xdr:rowOff>
    </xdr:to>
    <xdr:pic>
      <xdr:nvPicPr>
        <xdr:cNvPr id="113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382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104</xdr:col>
      <xdr:colOff>266700</xdr:colOff>
      <xdr:row>138</xdr:row>
      <xdr:rowOff>276225</xdr:rowOff>
    </xdr:from>
    <xdr:to>
      <xdr:col>104</xdr:col>
      <xdr:colOff>314325</xdr:colOff>
      <xdr:row>139</xdr:row>
      <xdr:rowOff>19050</xdr:rowOff>
    </xdr:to>
    <xdr:pic>
      <xdr:nvPicPr>
        <xdr:cNvPr id="113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717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105</xdr:col>
      <xdr:colOff>266700</xdr:colOff>
      <xdr:row>138</xdr:row>
      <xdr:rowOff>276225</xdr:rowOff>
    </xdr:from>
    <xdr:to>
      <xdr:col>105</xdr:col>
      <xdr:colOff>314325</xdr:colOff>
      <xdr:row>139</xdr:row>
      <xdr:rowOff>19050</xdr:rowOff>
    </xdr:to>
    <xdr:pic>
      <xdr:nvPicPr>
        <xdr:cNvPr id="113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051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106</xdr:col>
      <xdr:colOff>266700</xdr:colOff>
      <xdr:row>138</xdr:row>
      <xdr:rowOff>276225</xdr:rowOff>
    </xdr:from>
    <xdr:to>
      <xdr:col>106</xdr:col>
      <xdr:colOff>314325</xdr:colOff>
      <xdr:row>139</xdr:row>
      <xdr:rowOff>19050</xdr:rowOff>
    </xdr:to>
    <xdr:pic>
      <xdr:nvPicPr>
        <xdr:cNvPr id="113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385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107</xdr:col>
      <xdr:colOff>266700</xdr:colOff>
      <xdr:row>138</xdr:row>
      <xdr:rowOff>276225</xdr:rowOff>
    </xdr:from>
    <xdr:to>
      <xdr:col>107</xdr:col>
      <xdr:colOff>304800</xdr:colOff>
      <xdr:row>139</xdr:row>
      <xdr:rowOff>19050</xdr:rowOff>
    </xdr:to>
    <xdr:pic>
      <xdr:nvPicPr>
        <xdr:cNvPr id="113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719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108</xdr:col>
      <xdr:colOff>266700</xdr:colOff>
      <xdr:row>138</xdr:row>
      <xdr:rowOff>276225</xdr:rowOff>
    </xdr:from>
    <xdr:to>
      <xdr:col>108</xdr:col>
      <xdr:colOff>304800</xdr:colOff>
      <xdr:row>139</xdr:row>
      <xdr:rowOff>19050</xdr:rowOff>
    </xdr:to>
    <xdr:pic>
      <xdr:nvPicPr>
        <xdr:cNvPr id="113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054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109</xdr:col>
      <xdr:colOff>266700</xdr:colOff>
      <xdr:row>138</xdr:row>
      <xdr:rowOff>276225</xdr:rowOff>
    </xdr:from>
    <xdr:to>
      <xdr:col>109</xdr:col>
      <xdr:colOff>314325</xdr:colOff>
      <xdr:row>139</xdr:row>
      <xdr:rowOff>19050</xdr:rowOff>
    </xdr:to>
    <xdr:pic>
      <xdr:nvPicPr>
        <xdr:cNvPr id="113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388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110</xdr:col>
      <xdr:colOff>266700</xdr:colOff>
      <xdr:row>138</xdr:row>
      <xdr:rowOff>276225</xdr:rowOff>
    </xdr:from>
    <xdr:to>
      <xdr:col>110</xdr:col>
      <xdr:colOff>314325</xdr:colOff>
      <xdr:row>139</xdr:row>
      <xdr:rowOff>19050</xdr:rowOff>
    </xdr:to>
    <xdr:pic>
      <xdr:nvPicPr>
        <xdr:cNvPr id="113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111</xdr:col>
      <xdr:colOff>266700</xdr:colOff>
      <xdr:row>138</xdr:row>
      <xdr:rowOff>276225</xdr:rowOff>
    </xdr:from>
    <xdr:to>
      <xdr:col>111</xdr:col>
      <xdr:colOff>314325</xdr:colOff>
      <xdr:row>139</xdr:row>
      <xdr:rowOff>19050</xdr:rowOff>
    </xdr:to>
    <xdr:pic>
      <xdr:nvPicPr>
        <xdr:cNvPr id="113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056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112</xdr:col>
      <xdr:colOff>266700</xdr:colOff>
      <xdr:row>138</xdr:row>
      <xdr:rowOff>276225</xdr:rowOff>
    </xdr:from>
    <xdr:to>
      <xdr:col>112</xdr:col>
      <xdr:colOff>314325</xdr:colOff>
      <xdr:row>139</xdr:row>
      <xdr:rowOff>19050</xdr:rowOff>
    </xdr:to>
    <xdr:pic>
      <xdr:nvPicPr>
        <xdr:cNvPr id="113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391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113</xdr:col>
      <xdr:colOff>266700</xdr:colOff>
      <xdr:row>138</xdr:row>
      <xdr:rowOff>276225</xdr:rowOff>
    </xdr:from>
    <xdr:to>
      <xdr:col>113</xdr:col>
      <xdr:colOff>314325</xdr:colOff>
      <xdr:row>139</xdr:row>
      <xdr:rowOff>19050</xdr:rowOff>
    </xdr:to>
    <xdr:pic>
      <xdr:nvPicPr>
        <xdr:cNvPr id="114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725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114</xdr:col>
      <xdr:colOff>266700</xdr:colOff>
      <xdr:row>138</xdr:row>
      <xdr:rowOff>276225</xdr:rowOff>
    </xdr:from>
    <xdr:to>
      <xdr:col>114</xdr:col>
      <xdr:colOff>304800</xdr:colOff>
      <xdr:row>139</xdr:row>
      <xdr:rowOff>19050</xdr:rowOff>
    </xdr:to>
    <xdr:pic>
      <xdr:nvPicPr>
        <xdr:cNvPr id="114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115</xdr:col>
      <xdr:colOff>266700</xdr:colOff>
      <xdr:row>138</xdr:row>
      <xdr:rowOff>276225</xdr:rowOff>
    </xdr:from>
    <xdr:to>
      <xdr:col>115</xdr:col>
      <xdr:colOff>304800</xdr:colOff>
      <xdr:row>139</xdr:row>
      <xdr:rowOff>19050</xdr:rowOff>
    </xdr:to>
    <xdr:pic>
      <xdr:nvPicPr>
        <xdr:cNvPr id="114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393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116</xdr:col>
      <xdr:colOff>266700</xdr:colOff>
      <xdr:row>138</xdr:row>
      <xdr:rowOff>276225</xdr:rowOff>
    </xdr:from>
    <xdr:to>
      <xdr:col>116</xdr:col>
      <xdr:colOff>314325</xdr:colOff>
      <xdr:row>139</xdr:row>
      <xdr:rowOff>19050</xdr:rowOff>
    </xdr:to>
    <xdr:pic>
      <xdr:nvPicPr>
        <xdr:cNvPr id="114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728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117</xdr:col>
      <xdr:colOff>266700</xdr:colOff>
      <xdr:row>138</xdr:row>
      <xdr:rowOff>276225</xdr:rowOff>
    </xdr:from>
    <xdr:to>
      <xdr:col>117</xdr:col>
      <xdr:colOff>304800</xdr:colOff>
      <xdr:row>139</xdr:row>
      <xdr:rowOff>19050</xdr:rowOff>
    </xdr:to>
    <xdr:pic>
      <xdr:nvPicPr>
        <xdr:cNvPr id="114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062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118</xdr:col>
      <xdr:colOff>266700</xdr:colOff>
      <xdr:row>138</xdr:row>
      <xdr:rowOff>276225</xdr:rowOff>
    </xdr:from>
    <xdr:to>
      <xdr:col>118</xdr:col>
      <xdr:colOff>314325</xdr:colOff>
      <xdr:row>139</xdr:row>
      <xdr:rowOff>19050</xdr:rowOff>
    </xdr:to>
    <xdr:pic>
      <xdr:nvPicPr>
        <xdr:cNvPr id="114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396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119</xdr:col>
      <xdr:colOff>266700</xdr:colOff>
      <xdr:row>138</xdr:row>
      <xdr:rowOff>276225</xdr:rowOff>
    </xdr:from>
    <xdr:to>
      <xdr:col>119</xdr:col>
      <xdr:colOff>314325</xdr:colOff>
      <xdr:row>139</xdr:row>
      <xdr:rowOff>19050</xdr:rowOff>
    </xdr:to>
    <xdr:pic>
      <xdr:nvPicPr>
        <xdr:cNvPr id="114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730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120</xdr:col>
      <xdr:colOff>266700</xdr:colOff>
      <xdr:row>138</xdr:row>
      <xdr:rowOff>276225</xdr:rowOff>
    </xdr:from>
    <xdr:to>
      <xdr:col>120</xdr:col>
      <xdr:colOff>314325</xdr:colOff>
      <xdr:row>139</xdr:row>
      <xdr:rowOff>19050</xdr:rowOff>
    </xdr:to>
    <xdr:pic>
      <xdr:nvPicPr>
        <xdr:cNvPr id="114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121</xdr:col>
      <xdr:colOff>266700</xdr:colOff>
      <xdr:row>138</xdr:row>
      <xdr:rowOff>276225</xdr:rowOff>
    </xdr:from>
    <xdr:to>
      <xdr:col>121</xdr:col>
      <xdr:colOff>314325</xdr:colOff>
      <xdr:row>139</xdr:row>
      <xdr:rowOff>19050</xdr:rowOff>
    </xdr:to>
    <xdr:pic>
      <xdr:nvPicPr>
        <xdr:cNvPr id="114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399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122</xdr:col>
      <xdr:colOff>266700</xdr:colOff>
      <xdr:row>138</xdr:row>
      <xdr:rowOff>276225</xdr:rowOff>
    </xdr:from>
    <xdr:to>
      <xdr:col>122</xdr:col>
      <xdr:colOff>304800</xdr:colOff>
      <xdr:row>139</xdr:row>
      <xdr:rowOff>19050</xdr:rowOff>
    </xdr:to>
    <xdr:pic>
      <xdr:nvPicPr>
        <xdr:cNvPr id="114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733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123</xdr:col>
      <xdr:colOff>266700</xdr:colOff>
      <xdr:row>138</xdr:row>
      <xdr:rowOff>276225</xdr:rowOff>
    </xdr:from>
    <xdr:to>
      <xdr:col>123</xdr:col>
      <xdr:colOff>314325</xdr:colOff>
      <xdr:row>139</xdr:row>
      <xdr:rowOff>19050</xdr:rowOff>
    </xdr:to>
    <xdr:pic>
      <xdr:nvPicPr>
        <xdr:cNvPr id="115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067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124</xdr:col>
      <xdr:colOff>266700</xdr:colOff>
      <xdr:row>138</xdr:row>
      <xdr:rowOff>276225</xdr:rowOff>
    </xdr:from>
    <xdr:to>
      <xdr:col>124</xdr:col>
      <xdr:colOff>304800</xdr:colOff>
      <xdr:row>139</xdr:row>
      <xdr:rowOff>19050</xdr:rowOff>
    </xdr:to>
    <xdr:pic>
      <xdr:nvPicPr>
        <xdr:cNvPr id="115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402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125</xdr:col>
      <xdr:colOff>266700</xdr:colOff>
      <xdr:row>138</xdr:row>
      <xdr:rowOff>276225</xdr:rowOff>
    </xdr:from>
    <xdr:to>
      <xdr:col>125</xdr:col>
      <xdr:colOff>314325</xdr:colOff>
      <xdr:row>139</xdr:row>
      <xdr:rowOff>19050</xdr:rowOff>
    </xdr:to>
    <xdr:pic>
      <xdr:nvPicPr>
        <xdr:cNvPr id="115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736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126</xdr:col>
      <xdr:colOff>266700</xdr:colOff>
      <xdr:row>138</xdr:row>
      <xdr:rowOff>276225</xdr:rowOff>
    </xdr:from>
    <xdr:to>
      <xdr:col>126</xdr:col>
      <xdr:colOff>314325</xdr:colOff>
      <xdr:row>139</xdr:row>
      <xdr:rowOff>19050</xdr:rowOff>
    </xdr:to>
    <xdr:pic>
      <xdr:nvPicPr>
        <xdr:cNvPr id="115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070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127</xdr:col>
      <xdr:colOff>266700</xdr:colOff>
      <xdr:row>138</xdr:row>
      <xdr:rowOff>276225</xdr:rowOff>
    </xdr:from>
    <xdr:to>
      <xdr:col>127</xdr:col>
      <xdr:colOff>314325</xdr:colOff>
      <xdr:row>139</xdr:row>
      <xdr:rowOff>19050</xdr:rowOff>
    </xdr:to>
    <xdr:pic>
      <xdr:nvPicPr>
        <xdr:cNvPr id="115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04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128</xdr:col>
      <xdr:colOff>266700</xdr:colOff>
      <xdr:row>138</xdr:row>
      <xdr:rowOff>276225</xdr:rowOff>
    </xdr:from>
    <xdr:to>
      <xdr:col>128</xdr:col>
      <xdr:colOff>314325</xdr:colOff>
      <xdr:row>139</xdr:row>
      <xdr:rowOff>19050</xdr:rowOff>
    </xdr:to>
    <xdr:pic>
      <xdr:nvPicPr>
        <xdr:cNvPr id="115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739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129</xdr:col>
      <xdr:colOff>266700</xdr:colOff>
      <xdr:row>138</xdr:row>
      <xdr:rowOff>276225</xdr:rowOff>
    </xdr:from>
    <xdr:to>
      <xdr:col>129</xdr:col>
      <xdr:colOff>314325</xdr:colOff>
      <xdr:row>139</xdr:row>
      <xdr:rowOff>19050</xdr:rowOff>
    </xdr:to>
    <xdr:pic>
      <xdr:nvPicPr>
        <xdr:cNvPr id="115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073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130</xdr:col>
      <xdr:colOff>266700</xdr:colOff>
      <xdr:row>138</xdr:row>
      <xdr:rowOff>276225</xdr:rowOff>
    </xdr:from>
    <xdr:to>
      <xdr:col>130</xdr:col>
      <xdr:colOff>314325</xdr:colOff>
      <xdr:row>139</xdr:row>
      <xdr:rowOff>19050</xdr:rowOff>
    </xdr:to>
    <xdr:pic>
      <xdr:nvPicPr>
        <xdr:cNvPr id="115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07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131</xdr:col>
      <xdr:colOff>266700</xdr:colOff>
      <xdr:row>138</xdr:row>
      <xdr:rowOff>276225</xdr:rowOff>
    </xdr:from>
    <xdr:to>
      <xdr:col>131</xdr:col>
      <xdr:colOff>304800</xdr:colOff>
      <xdr:row>139</xdr:row>
      <xdr:rowOff>19050</xdr:rowOff>
    </xdr:to>
    <xdr:pic>
      <xdr:nvPicPr>
        <xdr:cNvPr id="115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741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132</xdr:col>
      <xdr:colOff>266700</xdr:colOff>
      <xdr:row>138</xdr:row>
      <xdr:rowOff>276225</xdr:rowOff>
    </xdr:from>
    <xdr:to>
      <xdr:col>132</xdr:col>
      <xdr:colOff>314325</xdr:colOff>
      <xdr:row>139</xdr:row>
      <xdr:rowOff>19050</xdr:rowOff>
    </xdr:to>
    <xdr:pic>
      <xdr:nvPicPr>
        <xdr:cNvPr id="115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076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133</xdr:col>
      <xdr:colOff>266700</xdr:colOff>
      <xdr:row>138</xdr:row>
      <xdr:rowOff>276225</xdr:rowOff>
    </xdr:from>
    <xdr:to>
      <xdr:col>133</xdr:col>
      <xdr:colOff>314325</xdr:colOff>
      <xdr:row>139</xdr:row>
      <xdr:rowOff>19050</xdr:rowOff>
    </xdr:to>
    <xdr:pic>
      <xdr:nvPicPr>
        <xdr:cNvPr id="116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410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134</xdr:col>
      <xdr:colOff>266700</xdr:colOff>
      <xdr:row>138</xdr:row>
      <xdr:rowOff>276225</xdr:rowOff>
    </xdr:from>
    <xdr:to>
      <xdr:col>134</xdr:col>
      <xdr:colOff>314325</xdr:colOff>
      <xdr:row>139</xdr:row>
      <xdr:rowOff>19050</xdr:rowOff>
    </xdr:to>
    <xdr:pic>
      <xdr:nvPicPr>
        <xdr:cNvPr id="116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744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135</xdr:col>
      <xdr:colOff>266700</xdr:colOff>
      <xdr:row>138</xdr:row>
      <xdr:rowOff>276225</xdr:rowOff>
    </xdr:from>
    <xdr:to>
      <xdr:col>135</xdr:col>
      <xdr:colOff>314325</xdr:colOff>
      <xdr:row>139</xdr:row>
      <xdr:rowOff>19050</xdr:rowOff>
    </xdr:to>
    <xdr:pic>
      <xdr:nvPicPr>
        <xdr:cNvPr id="116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078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136</xdr:col>
      <xdr:colOff>266700</xdr:colOff>
      <xdr:row>138</xdr:row>
      <xdr:rowOff>276225</xdr:rowOff>
    </xdr:from>
    <xdr:to>
      <xdr:col>136</xdr:col>
      <xdr:colOff>314325</xdr:colOff>
      <xdr:row>139</xdr:row>
      <xdr:rowOff>19050</xdr:rowOff>
    </xdr:to>
    <xdr:pic>
      <xdr:nvPicPr>
        <xdr:cNvPr id="116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413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137</xdr:col>
      <xdr:colOff>266700</xdr:colOff>
      <xdr:row>138</xdr:row>
      <xdr:rowOff>276225</xdr:rowOff>
    </xdr:from>
    <xdr:to>
      <xdr:col>137</xdr:col>
      <xdr:colOff>314325</xdr:colOff>
      <xdr:row>139</xdr:row>
      <xdr:rowOff>19050</xdr:rowOff>
    </xdr:to>
    <xdr:pic>
      <xdr:nvPicPr>
        <xdr:cNvPr id="116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47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138</xdr:col>
      <xdr:colOff>266700</xdr:colOff>
      <xdr:row>138</xdr:row>
      <xdr:rowOff>276225</xdr:rowOff>
    </xdr:from>
    <xdr:to>
      <xdr:col>138</xdr:col>
      <xdr:colOff>304800</xdr:colOff>
      <xdr:row>139</xdr:row>
      <xdr:rowOff>19050</xdr:rowOff>
    </xdr:to>
    <xdr:pic>
      <xdr:nvPicPr>
        <xdr:cNvPr id="116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081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139</xdr:col>
      <xdr:colOff>266700</xdr:colOff>
      <xdr:row>138</xdr:row>
      <xdr:rowOff>276225</xdr:rowOff>
    </xdr:from>
    <xdr:to>
      <xdr:col>139</xdr:col>
      <xdr:colOff>314325</xdr:colOff>
      <xdr:row>139</xdr:row>
      <xdr:rowOff>19050</xdr:rowOff>
    </xdr:to>
    <xdr:pic>
      <xdr:nvPicPr>
        <xdr:cNvPr id="116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415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140</xdr:col>
      <xdr:colOff>266700</xdr:colOff>
      <xdr:row>138</xdr:row>
      <xdr:rowOff>276225</xdr:rowOff>
    </xdr:from>
    <xdr:to>
      <xdr:col>140</xdr:col>
      <xdr:colOff>304800</xdr:colOff>
      <xdr:row>139</xdr:row>
      <xdr:rowOff>19050</xdr:rowOff>
    </xdr:to>
    <xdr:pic>
      <xdr:nvPicPr>
        <xdr:cNvPr id="116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141</xdr:col>
      <xdr:colOff>266700</xdr:colOff>
      <xdr:row>138</xdr:row>
      <xdr:rowOff>276225</xdr:rowOff>
    </xdr:from>
    <xdr:to>
      <xdr:col>141</xdr:col>
      <xdr:colOff>314325</xdr:colOff>
      <xdr:row>139</xdr:row>
      <xdr:rowOff>19050</xdr:rowOff>
    </xdr:to>
    <xdr:pic>
      <xdr:nvPicPr>
        <xdr:cNvPr id="116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084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142</xdr:col>
      <xdr:colOff>266700</xdr:colOff>
      <xdr:row>138</xdr:row>
      <xdr:rowOff>276225</xdr:rowOff>
    </xdr:from>
    <xdr:to>
      <xdr:col>142</xdr:col>
      <xdr:colOff>314325</xdr:colOff>
      <xdr:row>139</xdr:row>
      <xdr:rowOff>19050</xdr:rowOff>
    </xdr:to>
    <xdr:pic>
      <xdr:nvPicPr>
        <xdr:cNvPr id="116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418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143</xdr:col>
      <xdr:colOff>266700</xdr:colOff>
      <xdr:row>138</xdr:row>
      <xdr:rowOff>276225</xdr:rowOff>
    </xdr:from>
    <xdr:to>
      <xdr:col>143</xdr:col>
      <xdr:colOff>304800</xdr:colOff>
      <xdr:row>139</xdr:row>
      <xdr:rowOff>19050</xdr:rowOff>
    </xdr:to>
    <xdr:pic>
      <xdr:nvPicPr>
        <xdr:cNvPr id="117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9752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144</xdr:col>
      <xdr:colOff>266700</xdr:colOff>
      <xdr:row>138</xdr:row>
      <xdr:rowOff>276225</xdr:rowOff>
    </xdr:from>
    <xdr:to>
      <xdr:col>144</xdr:col>
      <xdr:colOff>314325</xdr:colOff>
      <xdr:row>139</xdr:row>
      <xdr:rowOff>19050</xdr:rowOff>
    </xdr:to>
    <xdr:pic>
      <xdr:nvPicPr>
        <xdr:cNvPr id="117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087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145</xdr:col>
      <xdr:colOff>266700</xdr:colOff>
      <xdr:row>138</xdr:row>
      <xdr:rowOff>276225</xdr:rowOff>
    </xdr:from>
    <xdr:to>
      <xdr:col>145</xdr:col>
      <xdr:colOff>304800</xdr:colOff>
      <xdr:row>139</xdr:row>
      <xdr:rowOff>19050</xdr:rowOff>
    </xdr:to>
    <xdr:pic>
      <xdr:nvPicPr>
        <xdr:cNvPr id="117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421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146</xdr:col>
      <xdr:colOff>266700</xdr:colOff>
      <xdr:row>138</xdr:row>
      <xdr:rowOff>276225</xdr:rowOff>
    </xdr:from>
    <xdr:to>
      <xdr:col>146</xdr:col>
      <xdr:colOff>314325</xdr:colOff>
      <xdr:row>139</xdr:row>
      <xdr:rowOff>19050</xdr:rowOff>
    </xdr:to>
    <xdr:pic>
      <xdr:nvPicPr>
        <xdr:cNvPr id="117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755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147</xdr:col>
      <xdr:colOff>266700</xdr:colOff>
      <xdr:row>138</xdr:row>
      <xdr:rowOff>276225</xdr:rowOff>
    </xdr:from>
    <xdr:to>
      <xdr:col>147</xdr:col>
      <xdr:colOff>304800</xdr:colOff>
      <xdr:row>139</xdr:row>
      <xdr:rowOff>19050</xdr:rowOff>
    </xdr:to>
    <xdr:pic>
      <xdr:nvPicPr>
        <xdr:cNvPr id="117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089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148</xdr:col>
      <xdr:colOff>266700</xdr:colOff>
      <xdr:row>138</xdr:row>
      <xdr:rowOff>276225</xdr:rowOff>
    </xdr:from>
    <xdr:to>
      <xdr:col>148</xdr:col>
      <xdr:colOff>314325</xdr:colOff>
      <xdr:row>139</xdr:row>
      <xdr:rowOff>19050</xdr:rowOff>
    </xdr:to>
    <xdr:pic>
      <xdr:nvPicPr>
        <xdr:cNvPr id="117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24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149</xdr:col>
      <xdr:colOff>266700</xdr:colOff>
      <xdr:row>138</xdr:row>
      <xdr:rowOff>276225</xdr:rowOff>
    </xdr:from>
    <xdr:to>
      <xdr:col>149</xdr:col>
      <xdr:colOff>314325</xdr:colOff>
      <xdr:row>139</xdr:row>
      <xdr:rowOff>19050</xdr:rowOff>
    </xdr:to>
    <xdr:pic>
      <xdr:nvPicPr>
        <xdr:cNvPr id="117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3758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150</xdr:col>
      <xdr:colOff>266700</xdr:colOff>
      <xdr:row>138</xdr:row>
      <xdr:rowOff>276225</xdr:rowOff>
    </xdr:from>
    <xdr:to>
      <xdr:col>150</xdr:col>
      <xdr:colOff>304800</xdr:colOff>
      <xdr:row>139</xdr:row>
      <xdr:rowOff>19050</xdr:rowOff>
    </xdr:to>
    <xdr:pic>
      <xdr:nvPicPr>
        <xdr:cNvPr id="117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092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151</xdr:col>
      <xdr:colOff>266700</xdr:colOff>
      <xdr:row>138</xdr:row>
      <xdr:rowOff>276225</xdr:rowOff>
    </xdr:from>
    <xdr:to>
      <xdr:col>151</xdr:col>
      <xdr:colOff>314325</xdr:colOff>
      <xdr:row>139</xdr:row>
      <xdr:rowOff>19050</xdr:rowOff>
    </xdr:to>
    <xdr:pic>
      <xdr:nvPicPr>
        <xdr:cNvPr id="117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426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152</xdr:col>
      <xdr:colOff>266700</xdr:colOff>
      <xdr:row>138</xdr:row>
      <xdr:rowOff>276225</xdr:rowOff>
    </xdr:from>
    <xdr:to>
      <xdr:col>152</xdr:col>
      <xdr:colOff>314325</xdr:colOff>
      <xdr:row>139</xdr:row>
      <xdr:rowOff>19050</xdr:rowOff>
    </xdr:to>
    <xdr:pic>
      <xdr:nvPicPr>
        <xdr:cNvPr id="117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761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153</xdr:col>
      <xdr:colOff>266700</xdr:colOff>
      <xdr:row>138</xdr:row>
      <xdr:rowOff>276225</xdr:rowOff>
    </xdr:from>
    <xdr:to>
      <xdr:col>153</xdr:col>
      <xdr:colOff>314325</xdr:colOff>
      <xdr:row>139</xdr:row>
      <xdr:rowOff>19050</xdr:rowOff>
    </xdr:to>
    <xdr:pic>
      <xdr:nvPicPr>
        <xdr:cNvPr id="118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95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154</xdr:col>
      <xdr:colOff>266700</xdr:colOff>
      <xdr:row>138</xdr:row>
      <xdr:rowOff>276225</xdr:rowOff>
    </xdr:from>
    <xdr:to>
      <xdr:col>154</xdr:col>
      <xdr:colOff>314325</xdr:colOff>
      <xdr:row>139</xdr:row>
      <xdr:rowOff>19050</xdr:rowOff>
    </xdr:to>
    <xdr:pic>
      <xdr:nvPicPr>
        <xdr:cNvPr id="118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429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155</xdr:col>
      <xdr:colOff>266700</xdr:colOff>
      <xdr:row>138</xdr:row>
      <xdr:rowOff>276225</xdr:rowOff>
    </xdr:from>
    <xdr:to>
      <xdr:col>155</xdr:col>
      <xdr:colOff>314325</xdr:colOff>
      <xdr:row>139</xdr:row>
      <xdr:rowOff>19050</xdr:rowOff>
    </xdr:to>
    <xdr:pic>
      <xdr:nvPicPr>
        <xdr:cNvPr id="118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763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156</xdr:col>
      <xdr:colOff>266700</xdr:colOff>
      <xdr:row>138</xdr:row>
      <xdr:rowOff>276225</xdr:rowOff>
    </xdr:from>
    <xdr:to>
      <xdr:col>156</xdr:col>
      <xdr:colOff>314325</xdr:colOff>
      <xdr:row>139</xdr:row>
      <xdr:rowOff>19050</xdr:rowOff>
    </xdr:to>
    <xdr:pic>
      <xdr:nvPicPr>
        <xdr:cNvPr id="118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098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157</xdr:col>
      <xdr:colOff>266700</xdr:colOff>
      <xdr:row>138</xdr:row>
      <xdr:rowOff>276225</xdr:rowOff>
    </xdr:from>
    <xdr:to>
      <xdr:col>157</xdr:col>
      <xdr:colOff>304800</xdr:colOff>
      <xdr:row>139</xdr:row>
      <xdr:rowOff>19050</xdr:rowOff>
    </xdr:to>
    <xdr:pic>
      <xdr:nvPicPr>
        <xdr:cNvPr id="118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432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158</xdr:col>
      <xdr:colOff>266700</xdr:colOff>
      <xdr:row>138</xdr:row>
      <xdr:rowOff>276225</xdr:rowOff>
    </xdr:from>
    <xdr:to>
      <xdr:col>158</xdr:col>
      <xdr:colOff>314325</xdr:colOff>
      <xdr:row>139</xdr:row>
      <xdr:rowOff>19050</xdr:rowOff>
    </xdr:to>
    <xdr:pic>
      <xdr:nvPicPr>
        <xdr:cNvPr id="118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766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159</xdr:col>
      <xdr:colOff>266700</xdr:colOff>
      <xdr:row>138</xdr:row>
      <xdr:rowOff>276225</xdr:rowOff>
    </xdr:from>
    <xdr:to>
      <xdr:col>159</xdr:col>
      <xdr:colOff>314325</xdr:colOff>
      <xdr:row>139</xdr:row>
      <xdr:rowOff>19050</xdr:rowOff>
    </xdr:to>
    <xdr:pic>
      <xdr:nvPicPr>
        <xdr:cNvPr id="118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100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160</xdr:col>
      <xdr:colOff>266700</xdr:colOff>
      <xdr:row>138</xdr:row>
      <xdr:rowOff>276225</xdr:rowOff>
    </xdr:from>
    <xdr:to>
      <xdr:col>160</xdr:col>
      <xdr:colOff>314325</xdr:colOff>
      <xdr:row>139</xdr:row>
      <xdr:rowOff>19050</xdr:rowOff>
    </xdr:to>
    <xdr:pic>
      <xdr:nvPicPr>
        <xdr:cNvPr id="118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435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161</xdr:col>
      <xdr:colOff>266700</xdr:colOff>
      <xdr:row>138</xdr:row>
      <xdr:rowOff>276225</xdr:rowOff>
    </xdr:from>
    <xdr:to>
      <xdr:col>161</xdr:col>
      <xdr:colOff>314325</xdr:colOff>
      <xdr:row>139</xdr:row>
      <xdr:rowOff>19050</xdr:rowOff>
    </xdr:to>
    <xdr:pic>
      <xdr:nvPicPr>
        <xdr:cNvPr id="118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769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162</xdr:col>
      <xdr:colOff>266700</xdr:colOff>
      <xdr:row>138</xdr:row>
      <xdr:rowOff>276225</xdr:rowOff>
    </xdr:from>
    <xdr:to>
      <xdr:col>162</xdr:col>
      <xdr:colOff>304800</xdr:colOff>
      <xdr:row>139</xdr:row>
      <xdr:rowOff>19050</xdr:rowOff>
    </xdr:to>
    <xdr:pic>
      <xdr:nvPicPr>
        <xdr:cNvPr id="118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103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163</xdr:col>
      <xdr:colOff>266700</xdr:colOff>
      <xdr:row>138</xdr:row>
      <xdr:rowOff>276225</xdr:rowOff>
    </xdr:from>
    <xdr:to>
      <xdr:col>163</xdr:col>
      <xdr:colOff>314325</xdr:colOff>
      <xdr:row>139</xdr:row>
      <xdr:rowOff>19050</xdr:rowOff>
    </xdr:to>
    <xdr:pic>
      <xdr:nvPicPr>
        <xdr:cNvPr id="119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6437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164</xdr:col>
      <xdr:colOff>266700</xdr:colOff>
      <xdr:row>138</xdr:row>
      <xdr:rowOff>276225</xdr:rowOff>
    </xdr:from>
    <xdr:to>
      <xdr:col>164</xdr:col>
      <xdr:colOff>314325</xdr:colOff>
      <xdr:row>139</xdr:row>
      <xdr:rowOff>19050</xdr:rowOff>
    </xdr:to>
    <xdr:pic>
      <xdr:nvPicPr>
        <xdr:cNvPr id="119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165</xdr:col>
      <xdr:colOff>266700</xdr:colOff>
      <xdr:row>138</xdr:row>
      <xdr:rowOff>276225</xdr:rowOff>
    </xdr:from>
    <xdr:to>
      <xdr:col>165</xdr:col>
      <xdr:colOff>314325</xdr:colOff>
      <xdr:row>139</xdr:row>
      <xdr:rowOff>19050</xdr:rowOff>
    </xdr:to>
    <xdr:pic>
      <xdr:nvPicPr>
        <xdr:cNvPr id="119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106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166</xdr:col>
      <xdr:colOff>266700</xdr:colOff>
      <xdr:row>138</xdr:row>
      <xdr:rowOff>276225</xdr:rowOff>
    </xdr:from>
    <xdr:to>
      <xdr:col>166</xdr:col>
      <xdr:colOff>314325</xdr:colOff>
      <xdr:row>139</xdr:row>
      <xdr:rowOff>19050</xdr:rowOff>
    </xdr:to>
    <xdr:pic>
      <xdr:nvPicPr>
        <xdr:cNvPr id="119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440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167</xdr:col>
      <xdr:colOff>266700</xdr:colOff>
      <xdr:row>138</xdr:row>
      <xdr:rowOff>276225</xdr:rowOff>
    </xdr:from>
    <xdr:to>
      <xdr:col>167</xdr:col>
      <xdr:colOff>314325</xdr:colOff>
      <xdr:row>139</xdr:row>
      <xdr:rowOff>19050</xdr:rowOff>
    </xdr:to>
    <xdr:pic>
      <xdr:nvPicPr>
        <xdr:cNvPr id="119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774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168</xdr:col>
      <xdr:colOff>266700</xdr:colOff>
      <xdr:row>138</xdr:row>
      <xdr:rowOff>276225</xdr:rowOff>
    </xdr:from>
    <xdr:to>
      <xdr:col>168</xdr:col>
      <xdr:colOff>314325</xdr:colOff>
      <xdr:row>139</xdr:row>
      <xdr:rowOff>19050</xdr:rowOff>
    </xdr:to>
    <xdr:pic>
      <xdr:nvPicPr>
        <xdr:cNvPr id="119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109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169</xdr:col>
      <xdr:colOff>266700</xdr:colOff>
      <xdr:row>138</xdr:row>
      <xdr:rowOff>276225</xdr:rowOff>
    </xdr:from>
    <xdr:to>
      <xdr:col>169</xdr:col>
      <xdr:colOff>304800</xdr:colOff>
      <xdr:row>139</xdr:row>
      <xdr:rowOff>19050</xdr:rowOff>
    </xdr:to>
    <xdr:pic>
      <xdr:nvPicPr>
        <xdr:cNvPr id="119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43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170</xdr:col>
      <xdr:colOff>266700</xdr:colOff>
      <xdr:row>138</xdr:row>
      <xdr:rowOff>276225</xdr:rowOff>
    </xdr:from>
    <xdr:to>
      <xdr:col>170</xdr:col>
      <xdr:colOff>304800</xdr:colOff>
      <xdr:row>139</xdr:row>
      <xdr:rowOff>19050</xdr:rowOff>
    </xdr:to>
    <xdr:pic>
      <xdr:nvPicPr>
        <xdr:cNvPr id="119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171</xdr:col>
      <xdr:colOff>266700</xdr:colOff>
      <xdr:row>138</xdr:row>
      <xdr:rowOff>276225</xdr:rowOff>
    </xdr:from>
    <xdr:to>
      <xdr:col>171</xdr:col>
      <xdr:colOff>314325</xdr:colOff>
      <xdr:row>139</xdr:row>
      <xdr:rowOff>19050</xdr:rowOff>
    </xdr:to>
    <xdr:pic>
      <xdr:nvPicPr>
        <xdr:cNvPr id="119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111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172</xdr:col>
      <xdr:colOff>266700</xdr:colOff>
      <xdr:row>138</xdr:row>
      <xdr:rowOff>276225</xdr:rowOff>
    </xdr:from>
    <xdr:to>
      <xdr:col>172</xdr:col>
      <xdr:colOff>314325</xdr:colOff>
      <xdr:row>139</xdr:row>
      <xdr:rowOff>19050</xdr:rowOff>
    </xdr:to>
    <xdr:pic>
      <xdr:nvPicPr>
        <xdr:cNvPr id="119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446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173</xdr:col>
      <xdr:colOff>266700</xdr:colOff>
      <xdr:row>138</xdr:row>
      <xdr:rowOff>276225</xdr:rowOff>
    </xdr:from>
    <xdr:to>
      <xdr:col>173</xdr:col>
      <xdr:colOff>314325</xdr:colOff>
      <xdr:row>139</xdr:row>
      <xdr:rowOff>19050</xdr:rowOff>
    </xdr:to>
    <xdr:pic>
      <xdr:nvPicPr>
        <xdr:cNvPr id="120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780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174</xdr:col>
      <xdr:colOff>266700</xdr:colOff>
      <xdr:row>138</xdr:row>
      <xdr:rowOff>276225</xdr:rowOff>
    </xdr:from>
    <xdr:to>
      <xdr:col>174</xdr:col>
      <xdr:colOff>304800</xdr:colOff>
      <xdr:row>139</xdr:row>
      <xdr:rowOff>19050</xdr:rowOff>
    </xdr:to>
    <xdr:pic>
      <xdr:nvPicPr>
        <xdr:cNvPr id="120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114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175</xdr:col>
      <xdr:colOff>266700</xdr:colOff>
      <xdr:row>138</xdr:row>
      <xdr:rowOff>276225</xdr:rowOff>
    </xdr:from>
    <xdr:to>
      <xdr:col>175</xdr:col>
      <xdr:colOff>314325</xdr:colOff>
      <xdr:row>139</xdr:row>
      <xdr:rowOff>19050</xdr:rowOff>
    </xdr:to>
    <xdr:pic>
      <xdr:nvPicPr>
        <xdr:cNvPr id="120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448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176</xdr:col>
      <xdr:colOff>266700</xdr:colOff>
      <xdr:row>138</xdr:row>
      <xdr:rowOff>276225</xdr:rowOff>
    </xdr:from>
    <xdr:to>
      <xdr:col>176</xdr:col>
      <xdr:colOff>304800</xdr:colOff>
      <xdr:row>139</xdr:row>
      <xdr:rowOff>19050</xdr:rowOff>
    </xdr:to>
    <xdr:pic>
      <xdr:nvPicPr>
        <xdr:cNvPr id="120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783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177</xdr:col>
      <xdr:colOff>266700</xdr:colOff>
      <xdr:row>138</xdr:row>
      <xdr:rowOff>276225</xdr:rowOff>
    </xdr:from>
    <xdr:to>
      <xdr:col>177</xdr:col>
      <xdr:colOff>304800</xdr:colOff>
      <xdr:row>139</xdr:row>
      <xdr:rowOff>19050</xdr:rowOff>
    </xdr:to>
    <xdr:pic>
      <xdr:nvPicPr>
        <xdr:cNvPr id="120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9117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178</xdr:col>
      <xdr:colOff>266700</xdr:colOff>
      <xdr:row>138</xdr:row>
      <xdr:rowOff>276225</xdr:rowOff>
    </xdr:from>
    <xdr:to>
      <xdr:col>178</xdr:col>
      <xdr:colOff>314325</xdr:colOff>
      <xdr:row>139</xdr:row>
      <xdr:rowOff>19050</xdr:rowOff>
    </xdr:to>
    <xdr:pic>
      <xdr:nvPicPr>
        <xdr:cNvPr id="120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6451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179</xdr:col>
      <xdr:colOff>266700</xdr:colOff>
      <xdr:row>138</xdr:row>
      <xdr:rowOff>276225</xdr:rowOff>
    </xdr:from>
    <xdr:to>
      <xdr:col>179</xdr:col>
      <xdr:colOff>314325</xdr:colOff>
      <xdr:row>139</xdr:row>
      <xdr:rowOff>19050</xdr:rowOff>
    </xdr:to>
    <xdr:pic>
      <xdr:nvPicPr>
        <xdr:cNvPr id="120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785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180</xdr:col>
      <xdr:colOff>266700</xdr:colOff>
      <xdr:row>138</xdr:row>
      <xdr:rowOff>276225</xdr:rowOff>
    </xdr:from>
    <xdr:to>
      <xdr:col>180</xdr:col>
      <xdr:colOff>314325</xdr:colOff>
      <xdr:row>139</xdr:row>
      <xdr:rowOff>19050</xdr:rowOff>
    </xdr:to>
    <xdr:pic>
      <xdr:nvPicPr>
        <xdr:cNvPr id="120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120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181</xdr:col>
      <xdr:colOff>266700</xdr:colOff>
      <xdr:row>138</xdr:row>
      <xdr:rowOff>276225</xdr:rowOff>
    </xdr:from>
    <xdr:to>
      <xdr:col>181</xdr:col>
      <xdr:colOff>314325</xdr:colOff>
      <xdr:row>139</xdr:row>
      <xdr:rowOff>19050</xdr:rowOff>
    </xdr:to>
    <xdr:pic>
      <xdr:nvPicPr>
        <xdr:cNvPr id="120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454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182</xdr:col>
      <xdr:colOff>266700</xdr:colOff>
      <xdr:row>138</xdr:row>
      <xdr:rowOff>276225</xdr:rowOff>
    </xdr:from>
    <xdr:to>
      <xdr:col>182</xdr:col>
      <xdr:colOff>304800</xdr:colOff>
      <xdr:row>139</xdr:row>
      <xdr:rowOff>19050</xdr:rowOff>
    </xdr:to>
    <xdr:pic>
      <xdr:nvPicPr>
        <xdr:cNvPr id="120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788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183</xdr:col>
      <xdr:colOff>266700</xdr:colOff>
      <xdr:row>138</xdr:row>
      <xdr:rowOff>276225</xdr:rowOff>
    </xdr:from>
    <xdr:to>
      <xdr:col>183</xdr:col>
      <xdr:colOff>314325</xdr:colOff>
      <xdr:row>139</xdr:row>
      <xdr:rowOff>19050</xdr:rowOff>
    </xdr:to>
    <xdr:pic>
      <xdr:nvPicPr>
        <xdr:cNvPr id="121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22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184</xdr:col>
      <xdr:colOff>266700</xdr:colOff>
      <xdr:row>138</xdr:row>
      <xdr:rowOff>276225</xdr:rowOff>
    </xdr:from>
    <xdr:to>
      <xdr:col>184</xdr:col>
      <xdr:colOff>304800</xdr:colOff>
      <xdr:row>139</xdr:row>
      <xdr:rowOff>19050</xdr:rowOff>
    </xdr:to>
    <xdr:pic>
      <xdr:nvPicPr>
        <xdr:cNvPr id="121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0457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185</xdr:col>
      <xdr:colOff>266700</xdr:colOff>
      <xdr:row>138</xdr:row>
      <xdr:rowOff>276225</xdr:rowOff>
    </xdr:from>
    <xdr:to>
      <xdr:col>185</xdr:col>
      <xdr:colOff>314325</xdr:colOff>
      <xdr:row>139</xdr:row>
      <xdr:rowOff>19050</xdr:rowOff>
    </xdr:to>
    <xdr:pic>
      <xdr:nvPicPr>
        <xdr:cNvPr id="121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791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186</xdr:col>
      <xdr:colOff>266700</xdr:colOff>
      <xdr:row>138</xdr:row>
      <xdr:rowOff>276225</xdr:rowOff>
    </xdr:from>
    <xdr:to>
      <xdr:col>186</xdr:col>
      <xdr:colOff>304800</xdr:colOff>
      <xdr:row>139</xdr:row>
      <xdr:rowOff>19050</xdr:rowOff>
    </xdr:to>
    <xdr:pic>
      <xdr:nvPicPr>
        <xdr:cNvPr id="121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5125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187</xdr:col>
      <xdr:colOff>266700</xdr:colOff>
      <xdr:row>138</xdr:row>
      <xdr:rowOff>276225</xdr:rowOff>
    </xdr:from>
    <xdr:to>
      <xdr:col>187</xdr:col>
      <xdr:colOff>314325</xdr:colOff>
      <xdr:row>139</xdr:row>
      <xdr:rowOff>19050</xdr:rowOff>
    </xdr:to>
    <xdr:pic>
      <xdr:nvPicPr>
        <xdr:cNvPr id="121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459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188</xdr:col>
      <xdr:colOff>266700</xdr:colOff>
      <xdr:row>138</xdr:row>
      <xdr:rowOff>276225</xdr:rowOff>
    </xdr:from>
    <xdr:to>
      <xdr:col>188</xdr:col>
      <xdr:colOff>314325</xdr:colOff>
      <xdr:row>139</xdr:row>
      <xdr:rowOff>19050</xdr:rowOff>
    </xdr:to>
    <xdr:pic>
      <xdr:nvPicPr>
        <xdr:cNvPr id="121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794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189</xdr:col>
      <xdr:colOff>266700</xdr:colOff>
      <xdr:row>138</xdr:row>
      <xdr:rowOff>276225</xdr:rowOff>
    </xdr:from>
    <xdr:to>
      <xdr:col>189</xdr:col>
      <xdr:colOff>314325</xdr:colOff>
      <xdr:row>139</xdr:row>
      <xdr:rowOff>19050</xdr:rowOff>
    </xdr:to>
    <xdr:pic>
      <xdr:nvPicPr>
        <xdr:cNvPr id="121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128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190</xdr:col>
      <xdr:colOff>266700</xdr:colOff>
      <xdr:row>138</xdr:row>
      <xdr:rowOff>276225</xdr:rowOff>
    </xdr:from>
    <xdr:to>
      <xdr:col>190</xdr:col>
      <xdr:colOff>314325</xdr:colOff>
      <xdr:row>139</xdr:row>
      <xdr:rowOff>19050</xdr:rowOff>
    </xdr:to>
    <xdr:pic>
      <xdr:nvPicPr>
        <xdr:cNvPr id="121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462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191</xdr:col>
      <xdr:colOff>266700</xdr:colOff>
      <xdr:row>138</xdr:row>
      <xdr:rowOff>276225</xdr:rowOff>
    </xdr:from>
    <xdr:to>
      <xdr:col>191</xdr:col>
      <xdr:colOff>304800</xdr:colOff>
      <xdr:row>139</xdr:row>
      <xdr:rowOff>19050</xdr:rowOff>
    </xdr:to>
    <xdr:pic>
      <xdr:nvPicPr>
        <xdr:cNvPr id="121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1796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192</xdr:col>
      <xdr:colOff>266700</xdr:colOff>
      <xdr:row>138</xdr:row>
      <xdr:rowOff>276225</xdr:rowOff>
    </xdr:from>
    <xdr:to>
      <xdr:col>192</xdr:col>
      <xdr:colOff>314325</xdr:colOff>
      <xdr:row>139</xdr:row>
      <xdr:rowOff>19050</xdr:rowOff>
    </xdr:to>
    <xdr:pic>
      <xdr:nvPicPr>
        <xdr:cNvPr id="121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9131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193</xdr:col>
      <xdr:colOff>266700</xdr:colOff>
      <xdr:row>138</xdr:row>
      <xdr:rowOff>276225</xdr:rowOff>
    </xdr:from>
    <xdr:to>
      <xdr:col>193</xdr:col>
      <xdr:colOff>304800</xdr:colOff>
      <xdr:row>139</xdr:row>
      <xdr:rowOff>19050</xdr:rowOff>
    </xdr:to>
    <xdr:pic>
      <xdr:nvPicPr>
        <xdr:cNvPr id="122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6465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194</xdr:col>
      <xdr:colOff>266700</xdr:colOff>
      <xdr:row>138</xdr:row>
      <xdr:rowOff>276225</xdr:rowOff>
    </xdr:from>
    <xdr:to>
      <xdr:col>194</xdr:col>
      <xdr:colOff>314325</xdr:colOff>
      <xdr:row>139</xdr:row>
      <xdr:rowOff>19050</xdr:rowOff>
    </xdr:to>
    <xdr:pic>
      <xdr:nvPicPr>
        <xdr:cNvPr id="122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3799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195</xdr:col>
      <xdr:colOff>266700</xdr:colOff>
      <xdr:row>138</xdr:row>
      <xdr:rowOff>276225</xdr:rowOff>
    </xdr:from>
    <xdr:to>
      <xdr:col>195</xdr:col>
      <xdr:colOff>314325</xdr:colOff>
      <xdr:row>139</xdr:row>
      <xdr:rowOff>19050</xdr:rowOff>
    </xdr:to>
    <xdr:pic>
      <xdr:nvPicPr>
        <xdr:cNvPr id="122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133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196</xdr:col>
      <xdr:colOff>266700</xdr:colOff>
      <xdr:row>138</xdr:row>
      <xdr:rowOff>276225</xdr:rowOff>
    </xdr:from>
    <xdr:to>
      <xdr:col>196</xdr:col>
      <xdr:colOff>314325</xdr:colOff>
      <xdr:row>139</xdr:row>
      <xdr:rowOff>19050</xdr:rowOff>
    </xdr:to>
    <xdr:pic>
      <xdr:nvPicPr>
        <xdr:cNvPr id="122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8468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197</xdr:col>
      <xdr:colOff>266700</xdr:colOff>
      <xdr:row>138</xdr:row>
      <xdr:rowOff>276225</xdr:rowOff>
    </xdr:from>
    <xdr:to>
      <xdr:col>197</xdr:col>
      <xdr:colOff>314325</xdr:colOff>
      <xdr:row>139</xdr:row>
      <xdr:rowOff>19050</xdr:rowOff>
    </xdr:to>
    <xdr:pic>
      <xdr:nvPicPr>
        <xdr:cNvPr id="122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802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198</xdr:col>
      <xdr:colOff>266700</xdr:colOff>
      <xdr:row>138</xdr:row>
      <xdr:rowOff>276225</xdr:rowOff>
    </xdr:from>
    <xdr:to>
      <xdr:col>198</xdr:col>
      <xdr:colOff>314325</xdr:colOff>
      <xdr:row>139</xdr:row>
      <xdr:rowOff>19050</xdr:rowOff>
    </xdr:to>
    <xdr:pic>
      <xdr:nvPicPr>
        <xdr:cNvPr id="122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3136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199</xdr:col>
      <xdr:colOff>266700</xdr:colOff>
      <xdr:row>138</xdr:row>
      <xdr:rowOff>276225</xdr:rowOff>
    </xdr:from>
    <xdr:to>
      <xdr:col>199</xdr:col>
      <xdr:colOff>314325</xdr:colOff>
      <xdr:row>139</xdr:row>
      <xdr:rowOff>19050</xdr:rowOff>
    </xdr:to>
    <xdr:pic>
      <xdr:nvPicPr>
        <xdr:cNvPr id="122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470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200</xdr:col>
      <xdr:colOff>266700</xdr:colOff>
      <xdr:row>138</xdr:row>
      <xdr:rowOff>276225</xdr:rowOff>
    </xdr:from>
    <xdr:to>
      <xdr:col>200</xdr:col>
      <xdr:colOff>304800</xdr:colOff>
      <xdr:row>139</xdr:row>
      <xdr:rowOff>19050</xdr:rowOff>
    </xdr:to>
    <xdr:pic>
      <xdr:nvPicPr>
        <xdr:cNvPr id="122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7805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201</xdr:col>
      <xdr:colOff>266700</xdr:colOff>
      <xdr:row>138</xdr:row>
      <xdr:rowOff>276225</xdr:rowOff>
    </xdr:from>
    <xdr:to>
      <xdr:col>201</xdr:col>
      <xdr:colOff>314325</xdr:colOff>
      <xdr:row>139</xdr:row>
      <xdr:rowOff>19050</xdr:rowOff>
    </xdr:to>
    <xdr:pic>
      <xdr:nvPicPr>
        <xdr:cNvPr id="122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139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202</xdr:col>
      <xdr:colOff>266700</xdr:colOff>
      <xdr:row>138</xdr:row>
      <xdr:rowOff>276225</xdr:rowOff>
    </xdr:from>
    <xdr:to>
      <xdr:col>202</xdr:col>
      <xdr:colOff>314325</xdr:colOff>
      <xdr:row>139</xdr:row>
      <xdr:rowOff>19050</xdr:rowOff>
    </xdr:to>
    <xdr:pic>
      <xdr:nvPicPr>
        <xdr:cNvPr id="122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473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203</xdr:col>
      <xdr:colOff>266700</xdr:colOff>
      <xdr:row>138</xdr:row>
      <xdr:rowOff>276225</xdr:rowOff>
    </xdr:from>
    <xdr:to>
      <xdr:col>203</xdr:col>
      <xdr:colOff>314325</xdr:colOff>
      <xdr:row>139</xdr:row>
      <xdr:rowOff>19050</xdr:rowOff>
    </xdr:to>
    <xdr:pic>
      <xdr:nvPicPr>
        <xdr:cNvPr id="123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9807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204</xdr:col>
      <xdr:colOff>266700</xdr:colOff>
      <xdr:row>138</xdr:row>
      <xdr:rowOff>276225</xdr:rowOff>
    </xdr:from>
    <xdr:to>
      <xdr:col>204</xdr:col>
      <xdr:colOff>314325</xdr:colOff>
      <xdr:row>139</xdr:row>
      <xdr:rowOff>19050</xdr:rowOff>
    </xdr:to>
    <xdr:pic>
      <xdr:nvPicPr>
        <xdr:cNvPr id="123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142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205</xdr:col>
      <xdr:colOff>266700</xdr:colOff>
      <xdr:row>138</xdr:row>
      <xdr:rowOff>276225</xdr:rowOff>
    </xdr:from>
    <xdr:to>
      <xdr:col>205</xdr:col>
      <xdr:colOff>304800</xdr:colOff>
      <xdr:row>139</xdr:row>
      <xdr:rowOff>19050</xdr:rowOff>
    </xdr:to>
    <xdr:pic>
      <xdr:nvPicPr>
        <xdr:cNvPr id="123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476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206</xdr:col>
      <xdr:colOff>266700</xdr:colOff>
      <xdr:row>138</xdr:row>
      <xdr:rowOff>276225</xdr:rowOff>
    </xdr:from>
    <xdr:to>
      <xdr:col>206</xdr:col>
      <xdr:colOff>314325</xdr:colOff>
      <xdr:row>139</xdr:row>
      <xdr:rowOff>19050</xdr:rowOff>
    </xdr:to>
    <xdr:pic>
      <xdr:nvPicPr>
        <xdr:cNvPr id="123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1810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207</xdr:col>
      <xdr:colOff>266700</xdr:colOff>
      <xdr:row>138</xdr:row>
      <xdr:rowOff>276225</xdr:rowOff>
    </xdr:from>
    <xdr:to>
      <xdr:col>207</xdr:col>
      <xdr:colOff>304800</xdr:colOff>
      <xdr:row>139</xdr:row>
      <xdr:rowOff>19050</xdr:rowOff>
    </xdr:to>
    <xdr:pic>
      <xdr:nvPicPr>
        <xdr:cNvPr id="123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144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208</xdr:col>
      <xdr:colOff>266700</xdr:colOff>
      <xdr:row>138</xdr:row>
      <xdr:rowOff>276225</xdr:rowOff>
    </xdr:from>
    <xdr:to>
      <xdr:col>208</xdr:col>
      <xdr:colOff>314325</xdr:colOff>
      <xdr:row>139</xdr:row>
      <xdr:rowOff>19050</xdr:rowOff>
    </xdr:to>
    <xdr:pic>
      <xdr:nvPicPr>
        <xdr:cNvPr id="123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6479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209</xdr:col>
      <xdr:colOff>266700</xdr:colOff>
      <xdr:row>138</xdr:row>
      <xdr:rowOff>276225</xdr:rowOff>
    </xdr:from>
    <xdr:to>
      <xdr:col>209</xdr:col>
      <xdr:colOff>304800</xdr:colOff>
      <xdr:row>139</xdr:row>
      <xdr:rowOff>19050</xdr:rowOff>
    </xdr:to>
    <xdr:pic>
      <xdr:nvPicPr>
        <xdr:cNvPr id="123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3813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210</xdr:col>
      <xdr:colOff>266700</xdr:colOff>
      <xdr:row>138</xdr:row>
      <xdr:rowOff>276225</xdr:rowOff>
    </xdr:from>
    <xdr:to>
      <xdr:col>210</xdr:col>
      <xdr:colOff>314325</xdr:colOff>
      <xdr:row>139</xdr:row>
      <xdr:rowOff>19050</xdr:rowOff>
    </xdr:to>
    <xdr:pic>
      <xdr:nvPicPr>
        <xdr:cNvPr id="123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1147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211</xdr:col>
      <xdr:colOff>266700</xdr:colOff>
      <xdr:row>138</xdr:row>
      <xdr:rowOff>276225</xdr:rowOff>
    </xdr:from>
    <xdr:to>
      <xdr:col>211</xdr:col>
      <xdr:colOff>314325</xdr:colOff>
      <xdr:row>139</xdr:row>
      <xdr:rowOff>19050</xdr:rowOff>
    </xdr:to>
    <xdr:pic>
      <xdr:nvPicPr>
        <xdr:cNvPr id="123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481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212</xdr:col>
      <xdr:colOff>266700</xdr:colOff>
      <xdr:row>138</xdr:row>
      <xdr:rowOff>276225</xdr:rowOff>
    </xdr:from>
    <xdr:to>
      <xdr:col>212</xdr:col>
      <xdr:colOff>304800</xdr:colOff>
      <xdr:row>139</xdr:row>
      <xdr:rowOff>19050</xdr:rowOff>
    </xdr:to>
    <xdr:pic>
      <xdr:nvPicPr>
        <xdr:cNvPr id="123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816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213</xdr:col>
      <xdr:colOff>266700</xdr:colOff>
      <xdr:row>138</xdr:row>
      <xdr:rowOff>276225</xdr:rowOff>
    </xdr:from>
    <xdr:to>
      <xdr:col>213</xdr:col>
      <xdr:colOff>314325</xdr:colOff>
      <xdr:row>139</xdr:row>
      <xdr:rowOff>19050</xdr:rowOff>
    </xdr:to>
    <xdr:pic>
      <xdr:nvPicPr>
        <xdr:cNvPr id="124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150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214</xdr:col>
      <xdr:colOff>266700</xdr:colOff>
      <xdr:row>138</xdr:row>
      <xdr:rowOff>276225</xdr:rowOff>
    </xdr:from>
    <xdr:to>
      <xdr:col>214</xdr:col>
      <xdr:colOff>314325</xdr:colOff>
      <xdr:row>139</xdr:row>
      <xdr:rowOff>19050</xdr:rowOff>
    </xdr:to>
    <xdr:pic>
      <xdr:nvPicPr>
        <xdr:cNvPr id="124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484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215</xdr:col>
      <xdr:colOff>266700</xdr:colOff>
      <xdr:row>138</xdr:row>
      <xdr:rowOff>276225</xdr:rowOff>
    </xdr:from>
    <xdr:to>
      <xdr:col>215</xdr:col>
      <xdr:colOff>314325</xdr:colOff>
      <xdr:row>139</xdr:row>
      <xdr:rowOff>19050</xdr:rowOff>
    </xdr:to>
    <xdr:pic>
      <xdr:nvPicPr>
        <xdr:cNvPr id="124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7818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216</xdr:col>
      <xdr:colOff>266700</xdr:colOff>
      <xdr:row>138</xdr:row>
      <xdr:rowOff>276225</xdr:rowOff>
    </xdr:from>
    <xdr:to>
      <xdr:col>216</xdr:col>
      <xdr:colOff>314325</xdr:colOff>
      <xdr:row>139</xdr:row>
      <xdr:rowOff>19050</xdr:rowOff>
    </xdr:to>
    <xdr:pic>
      <xdr:nvPicPr>
        <xdr:cNvPr id="124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5153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217</xdr:col>
      <xdr:colOff>266700</xdr:colOff>
      <xdr:row>138</xdr:row>
      <xdr:rowOff>276225</xdr:rowOff>
    </xdr:from>
    <xdr:to>
      <xdr:col>217</xdr:col>
      <xdr:colOff>314325</xdr:colOff>
      <xdr:row>139</xdr:row>
      <xdr:rowOff>19050</xdr:rowOff>
    </xdr:to>
    <xdr:pic>
      <xdr:nvPicPr>
        <xdr:cNvPr id="124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487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218</xdr:col>
      <xdr:colOff>266700</xdr:colOff>
      <xdr:row>138</xdr:row>
      <xdr:rowOff>276225</xdr:rowOff>
    </xdr:from>
    <xdr:to>
      <xdr:col>218</xdr:col>
      <xdr:colOff>314325</xdr:colOff>
      <xdr:row>139</xdr:row>
      <xdr:rowOff>19050</xdr:rowOff>
    </xdr:to>
    <xdr:pic>
      <xdr:nvPicPr>
        <xdr:cNvPr id="124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821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219</xdr:col>
      <xdr:colOff>266700</xdr:colOff>
      <xdr:row>138</xdr:row>
      <xdr:rowOff>276225</xdr:rowOff>
    </xdr:from>
    <xdr:to>
      <xdr:col>219</xdr:col>
      <xdr:colOff>304800</xdr:colOff>
      <xdr:row>139</xdr:row>
      <xdr:rowOff>19050</xdr:rowOff>
    </xdr:to>
    <xdr:pic>
      <xdr:nvPicPr>
        <xdr:cNvPr id="124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7155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220</xdr:col>
      <xdr:colOff>266700</xdr:colOff>
      <xdr:row>138</xdr:row>
      <xdr:rowOff>276225</xdr:rowOff>
    </xdr:from>
    <xdr:to>
      <xdr:col>220</xdr:col>
      <xdr:colOff>314325</xdr:colOff>
      <xdr:row>139</xdr:row>
      <xdr:rowOff>19050</xdr:rowOff>
    </xdr:to>
    <xdr:pic>
      <xdr:nvPicPr>
        <xdr:cNvPr id="124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4490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221</xdr:col>
      <xdr:colOff>266700</xdr:colOff>
      <xdr:row>138</xdr:row>
      <xdr:rowOff>276225</xdr:rowOff>
    </xdr:from>
    <xdr:to>
      <xdr:col>221</xdr:col>
      <xdr:colOff>314325</xdr:colOff>
      <xdr:row>139</xdr:row>
      <xdr:rowOff>19050</xdr:rowOff>
    </xdr:to>
    <xdr:pic>
      <xdr:nvPicPr>
        <xdr:cNvPr id="124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1824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222</xdr:col>
      <xdr:colOff>266700</xdr:colOff>
      <xdr:row>138</xdr:row>
      <xdr:rowOff>276225</xdr:rowOff>
    </xdr:from>
    <xdr:to>
      <xdr:col>222</xdr:col>
      <xdr:colOff>314325</xdr:colOff>
      <xdr:row>139</xdr:row>
      <xdr:rowOff>19050</xdr:rowOff>
    </xdr:to>
    <xdr:pic>
      <xdr:nvPicPr>
        <xdr:cNvPr id="124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9158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223</xdr:col>
      <xdr:colOff>266700</xdr:colOff>
      <xdr:row>138</xdr:row>
      <xdr:rowOff>276225</xdr:rowOff>
    </xdr:from>
    <xdr:to>
      <xdr:col>223</xdr:col>
      <xdr:colOff>314325</xdr:colOff>
      <xdr:row>139</xdr:row>
      <xdr:rowOff>19050</xdr:rowOff>
    </xdr:to>
    <xdr:pic>
      <xdr:nvPicPr>
        <xdr:cNvPr id="125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6492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224</xdr:col>
      <xdr:colOff>266700</xdr:colOff>
      <xdr:row>138</xdr:row>
      <xdr:rowOff>276225</xdr:rowOff>
    </xdr:from>
    <xdr:to>
      <xdr:col>224</xdr:col>
      <xdr:colOff>304800</xdr:colOff>
      <xdr:row>139</xdr:row>
      <xdr:rowOff>19050</xdr:rowOff>
    </xdr:to>
    <xdr:pic>
      <xdr:nvPicPr>
        <xdr:cNvPr id="125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827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225</xdr:col>
      <xdr:colOff>266700</xdr:colOff>
      <xdr:row>138</xdr:row>
      <xdr:rowOff>276225</xdr:rowOff>
    </xdr:from>
    <xdr:to>
      <xdr:col>225</xdr:col>
      <xdr:colOff>314325</xdr:colOff>
      <xdr:row>139</xdr:row>
      <xdr:rowOff>19050</xdr:rowOff>
    </xdr:to>
    <xdr:pic>
      <xdr:nvPicPr>
        <xdr:cNvPr id="125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1161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226</xdr:col>
      <xdr:colOff>266700</xdr:colOff>
      <xdr:row>138</xdr:row>
      <xdr:rowOff>276225</xdr:rowOff>
    </xdr:from>
    <xdr:to>
      <xdr:col>226</xdr:col>
      <xdr:colOff>304800</xdr:colOff>
      <xdr:row>139</xdr:row>
      <xdr:rowOff>19050</xdr:rowOff>
    </xdr:to>
    <xdr:pic>
      <xdr:nvPicPr>
        <xdr:cNvPr id="125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8495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227</xdr:col>
      <xdr:colOff>266700</xdr:colOff>
      <xdr:row>138</xdr:row>
      <xdr:rowOff>276225</xdr:rowOff>
    </xdr:from>
    <xdr:to>
      <xdr:col>227</xdr:col>
      <xdr:colOff>314325</xdr:colOff>
      <xdr:row>139</xdr:row>
      <xdr:rowOff>19050</xdr:rowOff>
    </xdr:to>
    <xdr:pic>
      <xdr:nvPicPr>
        <xdr:cNvPr id="125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829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228</xdr:col>
      <xdr:colOff>266700</xdr:colOff>
      <xdr:row>138</xdr:row>
      <xdr:rowOff>276225</xdr:rowOff>
    </xdr:from>
    <xdr:to>
      <xdr:col>228</xdr:col>
      <xdr:colOff>314325</xdr:colOff>
      <xdr:row>139</xdr:row>
      <xdr:rowOff>19050</xdr:rowOff>
    </xdr:to>
    <xdr:pic>
      <xdr:nvPicPr>
        <xdr:cNvPr id="125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164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229</xdr:col>
      <xdr:colOff>266700</xdr:colOff>
      <xdr:row>138</xdr:row>
      <xdr:rowOff>276225</xdr:rowOff>
    </xdr:from>
    <xdr:to>
      <xdr:col>229</xdr:col>
      <xdr:colOff>314325</xdr:colOff>
      <xdr:row>139</xdr:row>
      <xdr:rowOff>19050</xdr:rowOff>
    </xdr:to>
    <xdr:pic>
      <xdr:nvPicPr>
        <xdr:cNvPr id="125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498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230</xdr:col>
      <xdr:colOff>266700</xdr:colOff>
      <xdr:row>138</xdr:row>
      <xdr:rowOff>276225</xdr:rowOff>
    </xdr:from>
    <xdr:to>
      <xdr:col>230</xdr:col>
      <xdr:colOff>314325</xdr:colOff>
      <xdr:row>139</xdr:row>
      <xdr:rowOff>19050</xdr:rowOff>
    </xdr:to>
    <xdr:pic>
      <xdr:nvPicPr>
        <xdr:cNvPr id="125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7832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231</xdr:col>
      <xdr:colOff>266700</xdr:colOff>
      <xdr:row>138</xdr:row>
      <xdr:rowOff>276225</xdr:rowOff>
    </xdr:from>
    <xdr:to>
      <xdr:col>231</xdr:col>
      <xdr:colOff>304800</xdr:colOff>
      <xdr:row>139</xdr:row>
      <xdr:rowOff>19050</xdr:rowOff>
    </xdr:to>
    <xdr:pic>
      <xdr:nvPicPr>
        <xdr:cNvPr id="125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5166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232</xdr:col>
      <xdr:colOff>266700</xdr:colOff>
      <xdr:row>138</xdr:row>
      <xdr:rowOff>276225</xdr:rowOff>
    </xdr:from>
    <xdr:to>
      <xdr:col>232</xdr:col>
      <xdr:colOff>304800</xdr:colOff>
      <xdr:row>139</xdr:row>
      <xdr:rowOff>19050</xdr:rowOff>
    </xdr:to>
    <xdr:pic>
      <xdr:nvPicPr>
        <xdr:cNvPr id="125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2501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233</xdr:col>
      <xdr:colOff>266700</xdr:colOff>
      <xdr:row>138</xdr:row>
      <xdr:rowOff>276225</xdr:rowOff>
    </xdr:from>
    <xdr:to>
      <xdr:col>233</xdr:col>
      <xdr:colOff>314325</xdr:colOff>
      <xdr:row>139</xdr:row>
      <xdr:rowOff>19050</xdr:rowOff>
    </xdr:to>
    <xdr:pic>
      <xdr:nvPicPr>
        <xdr:cNvPr id="126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9835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234</xdr:col>
      <xdr:colOff>266700</xdr:colOff>
      <xdr:row>138</xdr:row>
      <xdr:rowOff>276225</xdr:rowOff>
    </xdr:from>
    <xdr:to>
      <xdr:col>234</xdr:col>
      <xdr:colOff>314325</xdr:colOff>
      <xdr:row>139</xdr:row>
      <xdr:rowOff>19050</xdr:rowOff>
    </xdr:to>
    <xdr:pic>
      <xdr:nvPicPr>
        <xdr:cNvPr id="126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7169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235</xdr:col>
      <xdr:colOff>266700</xdr:colOff>
      <xdr:row>138</xdr:row>
      <xdr:rowOff>276225</xdr:rowOff>
    </xdr:from>
    <xdr:to>
      <xdr:col>235</xdr:col>
      <xdr:colOff>314325</xdr:colOff>
      <xdr:row>139</xdr:row>
      <xdr:rowOff>19050</xdr:rowOff>
    </xdr:to>
    <xdr:pic>
      <xdr:nvPicPr>
        <xdr:cNvPr id="126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503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236</xdr:col>
      <xdr:colOff>266700</xdr:colOff>
      <xdr:row>138</xdr:row>
      <xdr:rowOff>276225</xdr:rowOff>
    </xdr:from>
    <xdr:to>
      <xdr:col>236</xdr:col>
      <xdr:colOff>304800</xdr:colOff>
      <xdr:row>139</xdr:row>
      <xdr:rowOff>19050</xdr:rowOff>
    </xdr:to>
    <xdr:pic>
      <xdr:nvPicPr>
        <xdr:cNvPr id="126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1838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237</xdr:col>
      <xdr:colOff>266700</xdr:colOff>
      <xdr:row>138</xdr:row>
      <xdr:rowOff>276225</xdr:rowOff>
    </xdr:from>
    <xdr:to>
      <xdr:col>237</xdr:col>
      <xdr:colOff>314325</xdr:colOff>
      <xdr:row>139</xdr:row>
      <xdr:rowOff>19050</xdr:rowOff>
    </xdr:to>
    <xdr:pic>
      <xdr:nvPicPr>
        <xdr:cNvPr id="126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9172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238</xdr:col>
      <xdr:colOff>266700</xdr:colOff>
      <xdr:row>138</xdr:row>
      <xdr:rowOff>276225</xdr:rowOff>
    </xdr:from>
    <xdr:to>
      <xdr:col>238</xdr:col>
      <xdr:colOff>304800</xdr:colOff>
      <xdr:row>139</xdr:row>
      <xdr:rowOff>19050</xdr:rowOff>
    </xdr:to>
    <xdr:pic>
      <xdr:nvPicPr>
        <xdr:cNvPr id="126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6506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239</xdr:col>
      <xdr:colOff>266700</xdr:colOff>
      <xdr:row>138</xdr:row>
      <xdr:rowOff>276225</xdr:rowOff>
    </xdr:from>
    <xdr:to>
      <xdr:col>239</xdr:col>
      <xdr:colOff>304800</xdr:colOff>
      <xdr:row>139</xdr:row>
      <xdr:rowOff>19050</xdr:rowOff>
    </xdr:to>
    <xdr:pic>
      <xdr:nvPicPr>
        <xdr:cNvPr id="126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840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240</xdr:col>
      <xdr:colOff>266700</xdr:colOff>
      <xdr:row>138</xdr:row>
      <xdr:rowOff>276225</xdr:rowOff>
    </xdr:from>
    <xdr:to>
      <xdr:col>240</xdr:col>
      <xdr:colOff>314325</xdr:colOff>
      <xdr:row>139</xdr:row>
      <xdr:rowOff>19050</xdr:rowOff>
    </xdr:to>
    <xdr:pic>
      <xdr:nvPicPr>
        <xdr:cNvPr id="126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241</xdr:col>
      <xdr:colOff>266700</xdr:colOff>
      <xdr:row>138</xdr:row>
      <xdr:rowOff>276225</xdr:rowOff>
    </xdr:from>
    <xdr:to>
      <xdr:col>241</xdr:col>
      <xdr:colOff>314325</xdr:colOff>
      <xdr:row>139</xdr:row>
      <xdr:rowOff>19050</xdr:rowOff>
    </xdr:to>
    <xdr:pic>
      <xdr:nvPicPr>
        <xdr:cNvPr id="126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509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242</xdr:col>
      <xdr:colOff>266700</xdr:colOff>
      <xdr:row>138</xdr:row>
      <xdr:rowOff>276225</xdr:rowOff>
    </xdr:from>
    <xdr:to>
      <xdr:col>242</xdr:col>
      <xdr:colOff>314325</xdr:colOff>
      <xdr:row>139</xdr:row>
      <xdr:rowOff>19050</xdr:rowOff>
    </xdr:to>
    <xdr:pic>
      <xdr:nvPicPr>
        <xdr:cNvPr id="126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5843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243</xdr:col>
      <xdr:colOff>266700</xdr:colOff>
      <xdr:row>138</xdr:row>
      <xdr:rowOff>276225</xdr:rowOff>
    </xdr:from>
    <xdr:to>
      <xdr:col>243</xdr:col>
      <xdr:colOff>314325</xdr:colOff>
      <xdr:row>139</xdr:row>
      <xdr:rowOff>19050</xdr:rowOff>
    </xdr:to>
    <xdr:pic>
      <xdr:nvPicPr>
        <xdr:cNvPr id="127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3177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244</xdr:col>
      <xdr:colOff>266700</xdr:colOff>
      <xdr:row>138</xdr:row>
      <xdr:rowOff>276225</xdr:rowOff>
    </xdr:from>
    <xdr:to>
      <xdr:col>244</xdr:col>
      <xdr:colOff>304800</xdr:colOff>
      <xdr:row>139</xdr:row>
      <xdr:rowOff>19050</xdr:rowOff>
    </xdr:to>
    <xdr:pic>
      <xdr:nvPicPr>
        <xdr:cNvPr id="127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5120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245</xdr:col>
      <xdr:colOff>266700</xdr:colOff>
      <xdr:row>138</xdr:row>
      <xdr:rowOff>276225</xdr:rowOff>
    </xdr:from>
    <xdr:to>
      <xdr:col>245</xdr:col>
      <xdr:colOff>314325</xdr:colOff>
      <xdr:row>139</xdr:row>
      <xdr:rowOff>19050</xdr:rowOff>
    </xdr:to>
    <xdr:pic>
      <xdr:nvPicPr>
        <xdr:cNvPr id="127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846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246</xdr:col>
      <xdr:colOff>266700</xdr:colOff>
      <xdr:row>138</xdr:row>
      <xdr:rowOff>276225</xdr:rowOff>
    </xdr:from>
    <xdr:to>
      <xdr:col>246</xdr:col>
      <xdr:colOff>304800</xdr:colOff>
      <xdr:row>139</xdr:row>
      <xdr:rowOff>19050</xdr:rowOff>
    </xdr:to>
    <xdr:pic>
      <xdr:nvPicPr>
        <xdr:cNvPr id="1273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18050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247</xdr:col>
      <xdr:colOff>266700</xdr:colOff>
      <xdr:row>138</xdr:row>
      <xdr:rowOff>276225</xdr:rowOff>
    </xdr:from>
    <xdr:to>
      <xdr:col>247</xdr:col>
      <xdr:colOff>314325</xdr:colOff>
      <xdr:row>139</xdr:row>
      <xdr:rowOff>19050</xdr:rowOff>
    </xdr:to>
    <xdr:pic>
      <xdr:nvPicPr>
        <xdr:cNvPr id="1274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25147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248</xdr:col>
      <xdr:colOff>266700</xdr:colOff>
      <xdr:row>138</xdr:row>
      <xdr:rowOff>276225</xdr:rowOff>
    </xdr:from>
    <xdr:to>
      <xdr:col>248</xdr:col>
      <xdr:colOff>314325</xdr:colOff>
      <xdr:row>139</xdr:row>
      <xdr:rowOff>19050</xdr:rowOff>
    </xdr:to>
    <xdr:pic>
      <xdr:nvPicPr>
        <xdr:cNvPr id="127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9849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249</xdr:col>
      <xdr:colOff>266700</xdr:colOff>
      <xdr:row>138</xdr:row>
      <xdr:rowOff>276225</xdr:rowOff>
    </xdr:from>
    <xdr:to>
      <xdr:col>249</xdr:col>
      <xdr:colOff>314325</xdr:colOff>
      <xdr:row>139</xdr:row>
      <xdr:rowOff>19050</xdr:rowOff>
    </xdr:to>
    <xdr:pic>
      <xdr:nvPicPr>
        <xdr:cNvPr id="1276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18325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250</xdr:col>
      <xdr:colOff>266700</xdr:colOff>
      <xdr:row>138</xdr:row>
      <xdr:rowOff>276225</xdr:rowOff>
    </xdr:from>
    <xdr:to>
      <xdr:col>250</xdr:col>
      <xdr:colOff>314325</xdr:colOff>
      <xdr:row>139</xdr:row>
      <xdr:rowOff>19050</xdr:rowOff>
    </xdr:to>
    <xdr:pic>
      <xdr:nvPicPr>
        <xdr:cNvPr id="1277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251</xdr:col>
      <xdr:colOff>266700</xdr:colOff>
      <xdr:row>138</xdr:row>
      <xdr:rowOff>276225</xdr:rowOff>
    </xdr:from>
    <xdr:to>
      <xdr:col>251</xdr:col>
      <xdr:colOff>304800</xdr:colOff>
      <xdr:row>139</xdr:row>
      <xdr:rowOff>19050</xdr:rowOff>
    </xdr:to>
    <xdr:pic>
      <xdr:nvPicPr>
        <xdr:cNvPr id="1278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51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252</xdr:col>
      <xdr:colOff>266700</xdr:colOff>
      <xdr:row>138</xdr:row>
      <xdr:rowOff>276225</xdr:rowOff>
    </xdr:from>
    <xdr:to>
      <xdr:col>252</xdr:col>
      <xdr:colOff>314325</xdr:colOff>
      <xdr:row>139</xdr:row>
      <xdr:rowOff>19050</xdr:rowOff>
    </xdr:to>
    <xdr:pic>
      <xdr:nvPicPr>
        <xdr:cNvPr id="1279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91860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253</xdr:col>
      <xdr:colOff>266700</xdr:colOff>
      <xdr:row>138</xdr:row>
      <xdr:rowOff>276225</xdr:rowOff>
    </xdr:from>
    <xdr:to>
      <xdr:col>253</xdr:col>
      <xdr:colOff>304800</xdr:colOff>
      <xdr:row>139</xdr:row>
      <xdr:rowOff>19050</xdr:rowOff>
    </xdr:to>
    <xdr:pic>
      <xdr:nvPicPr>
        <xdr:cNvPr id="1280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202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254</xdr:col>
      <xdr:colOff>266700</xdr:colOff>
      <xdr:row>138</xdr:row>
      <xdr:rowOff>276225</xdr:rowOff>
    </xdr:from>
    <xdr:to>
      <xdr:col>254</xdr:col>
      <xdr:colOff>314325</xdr:colOff>
      <xdr:row>139</xdr:row>
      <xdr:rowOff>19050</xdr:rowOff>
    </xdr:to>
    <xdr:pic>
      <xdr:nvPicPr>
        <xdr:cNvPr id="1281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385450" y="25250775"/>
          <a:ext cx="47625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255</xdr:col>
      <xdr:colOff>266700</xdr:colOff>
      <xdr:row>138</xdr:row>
      <xdr:rowOff>276225</xdr:rowOff>
    </xdr:from>
    <xdr:to>
      <xdr:col>255</xdr:col>
      <xdr:colOff>304800</xdr:colOff>
      <xdr:row>139</xdr:row>
      <xdr:rowOff>19050</xdr:rowOff>
    </xdr:to>
    <xdr:pic>
      <xdr:nvPicPr>
        <xdr:cNvPr id="1282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18875" y="25250775"/>
          <a:ext cx="38100" cy="28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0</xdr:colOff>
      <xdr:row>138</xdr:row>
      <xdr:rowOff>238125</xdr:rowOff>
    </xdr:from>
    <xdr:to>
      <xdr:col>17</xdr:col>
      <xdr:colOff>142875</xdr:colOff>
      <xdr:row>264</xdr:row>
      <xdr:rowOff>152400</xdr:rowOff>
    </xdr:to>
    <xdr:pic>
      <xdr:nvPicPr>
        <xdr:cNvPr id="1283" name="Grafik 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212675"/>
          <a:ext cx="14439900" cy="20440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40"/>
  <sheetViews>
    <sheetView tabSelected="1" workbookViewId="0"/>
  </sheetViews>
  <sheetFormatPr baseColWidth="10" defaultColWidth="11" defaultRowHeight="12.75" customHeight="1" x14ac:dyDescent="0.2"/>
  <cols>
    <col min="1" max="1" width="35" style="1" customWidth="1"/>
    <col min="2" max="2" width="11.7109375" style="1" customWidth="1"/>
    <col min="3" max="3" width="12.140625" style="1" customWidth="1"/>
    <col min="4" max="4" width="11.5703125" style="1" customWidth="1"/>
    <col min="5" max="5" width="13.28515625" style="1" customWidth="1"/>
    <col min="6" max="6" width="11.85546875" style="1" customWidth="1"/>
    <col min="7" max="8" width="11" style="1"/>
    <col min="9" max="9" width="8.85546875" style="1" customWidth="1"/>
    <col min="10" max="16384" width="11" style="1"/>
  </cols>
  <sheetData>
    <row r="1" spans="1:7" s="3" customFormat="1" ht="12.95" customHeight="1" x14ac:dyDescent="0.2">
      <c r="A1" s="2"/>
      <c r="B1" s="2"/>
      <c r="C1" s="2"/>
      <c r="D1" s="2"/>
      <c r="E1" s="2"/>
      <c r="F1" s="2"/>
      <c r="G1" s="118"/>
    </row>
    <row r="2" spans="1:7" s="3" customFormat="1" ht="12.95" customHeight="1" x14ac:dyDescent="0.2">
      <c r="A2" s="119" t="s">
        <v>0</v>
      </c>
      <c r="B2" s="119"/>
      <c r="C2" s="119"/>
      <c r="D2" s="119"/>
      <c r="E2" s="119"/>
      <c r="F2" s="119"/>
      <c r="G2" s="118"/>
    </row>
    <row r="3" spans="1:7" s="3" customFormat="1" ht="12.75" customHeight="1" x14ac:dyDescent="0.2">
      <c r="A3" s="119" t="s">
        <v>0</v>
      </c>
      <c r="B3" s="119"/>
      <c r="C3" s="119"/>
      <c r="D3" s="119"/>
      <c r="E3" s="119"/>
      <c r="F3" s="119"/>
      <c r="G3" s="118"/>
    </row>
    <row r="4" spans="1:7" s="6" customFormat="1" ht="20.85" customHeight="1" x14ac:dyDescent="0.2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118"/>
    </row>
    <row r="5" spans="1:7" s="11" customFormat="1" ht="17.100000000000001" customHeight="1" x14ac:dyDescent="0.2">
      <c r="A5" s="7"/>
      <c r="B5" s="8" t="s">
        <v>7</v>
      </c>
      <c r="C5" s="9" t="s">
        <v>8</v>
      </c>
      <c r="D5" s="10" t="s">
        <v>9</v>
      </c>
      <c r="E5" s="9" t="s">
        <v>10</v>
      </c>
      <c r="F5" s="8" t="s">
        <v>11</v>
      </c>
      <c r="G5" s="118"/>
    </row>
    <row r="6" spans="1:7" s="12" customFormat="1" ht="20.100000000000001" customHeight="1" x14ac:dyDescent="0.2">
      <c r="A6" s="120" t="s">
        <v>12</v>
      </c>
      <c r="B6" s="120"/>
      <c r="C6" s="120"/>
      <c r="D6" s="120"/>
      <c r="E6" s="120"/>
      <c r="F6" s="120"/>
      <c r="G6" s="118"/>
    </row>
    <row r="7" spans="1:7" ht="12.75" customHeight="1" x14ac:dyDescent="0.2">
      <c r="A7" s="121" t="s">
        <v>13</v>
      </c>
      <c r="B7" s="121"/>
      <c r="C7" s="121"/>
      <c r="D7" s="121"/>
      <c r="E7" s="121"/>
      <c r="F7" s="121"/>
      <c r="G7" s="118"/>
    </row>
    <row r="8" spans="1:7" ht="12.75" customHeight="1" x14ac:dyDescent="0.2">
      <c r="A8" s="13" t="s">
        <v>14</v>
      </c>
      <c r="B8" s="14">
        <v>1</v>
      </c>
      <c r="C8" s="14">
        <v>6</v>
      </c>
      <c r="D8" s="15">
        <f t="shared" ref="D8:D16" si="0">ROUND(B8*C8/12,2)</f>
        <v>0.5</v>
      </c>
      <c r="E8" s="14">
        <v>3</v>
      </c>
      <c r="F8" s="16">
        <f t="shared" ref="F8:F16" si="1">PRODUCT(D8,E8)</f>
        <v>1.5</v>
      </c>
      <c r="G8" s="118"/>
    </row>
    <row r="9" spans="1:7" ht="12.75" customHeight="1" x14ac:dyDescent="0.2">
      <c r="A9" s="17" t="s">
        <v>15</v>
      </c>
      <c r="B9" s="18">
        <v>2</v>
      </c>
      <c r="C9" s="18">
        <v>1.3</v>
      </c>
      <c r="D9" s="19">
        <f t="shared" si="0"/>
        <v>0.22</v>
      </c>
      <c r="E9" s="18">
        <v>1</v>
      </c>
      <c r="F9" s="20">
        <f t="shared" si="1"/>
        <v>0.22</v>
      </c>
      <c r="G9" s="118"/>
    </row>
    <row r="10" spans="1:7" ht="12.75" customHeight="1" x14ac:dyDescent="0.2">
      <c r="A10" s="13" t="s">
        <v>16</v>
      </c>
      <c r="B10" s="14">
        <v>2</v>
      </c>
      <c r="C10" s="14">
        <v>1</v>
      </c>
      <c r="D10" s="15">
        <f t="shared" si="0"/>
        <v>0.17</v>
      </c>
      <c r="E10" s="14">
        <v>2</v>
      </c>
      <c r="F10" s="16">
        <f t="shared" si="1"/>
        <v>0.34</v>
      </c>
      <c r="G10" s="118"/>
    </row>
    <row r="11" spans="1:7" ht="12.75" customHeight="1" x14ac:dyDescent="0.2">
      <c r="A11" s="17" t="s">
        <v>17</v>
      </c>
      <c r="B11" s="18">
        <v>2</v>
      </c>
      <c r="C11" s="18">
        <v>2</v>
      </c>
      <c r="D11" s="19">
        <f t="shared" si="0"/>
        <v>0.33</v>
      </c>
      <c r="E11" s="18">
        <v>0.5</v>
      </c>
      <c r="F11" s="20">
        <f t="shared" si="1"/>
        <v>0.16500000000000001</v>
      </c>
      <c r="G11" s="118"/>
    </row>
    <row r="12" spans="1:7" ht="12.75" customHeight="1" x14ac:dyDescent="0.2">
      <c r="A12" s="13" t="s">
        <v>18</v>
      </c>
      <c r="B12" s="14">
        <v>1</v>
      </c>
      <c r="C12" s="14">
        <v>5</v>
      </c>
      <c r="D12" s="15">
        <f t="shared" si="0"/>
        <v>0.42</v>
      </c>
      <c r="E12" s="14">
        <v>2</v>
      </c>
      <c r="F12" s="16">
        <f t="shared" si="1"/>
        <v>0.84</v>
      </c>
      <c r="G12" s="118"/>
    </row>
    <row r="13" spans="1:7" ht="12.75" customHeight="1" x14ac:dyDescent="0.2">
      <c r="A13" s="17" t="s">
        <v>19</v>
      </c>
      <c r="B13" s="18">
        <v>0</v>
      </c>
      <c r="C13" s="18">
        <v>15</v>
      </c>
      <c r="D13" s="19">
        <f t="shared" si="0"/>
        <v>0</v>
      </c>
      <c r="E13" s="18">
        <v>0</v>
      </c>
      <c r="F13" s="20">
        <f t="shared" si="1"/>
        <v>0</v>
      </c>
      <c r="G13" s="118"/>
    </row>
    <row r="14" spans="1:7" ht="12.75" customHeight="1" x14ac:dyDescent="0.2">
      <c r="A14" s="13" t="s">
        <v>20</v>
      </c>
      <c r="B14" s="14">
        <v>0</v>
      </c>
      <c r="C14" s="14">
        <v>100</v>
      </c>
      <c r="D14" s="15">
        <f t="shared" si="0"/>
        <v>0</v>
      </c>
      <c r="E14" s="14">
        <v>0</v>
      </c>
      <c r="F14" s="16">
        <f t="shared" si="1"/>
        <v>0</v>
      </c>
      <c r="G14" s="118"/>
    </row>
    <row r="15" spans="1:7" ht="12.75" customHeight="1" x14ac:dyDescent="0.2">
      <c r="A15" s="17" t="s">
        <v>21</v>
      </c>
      <c r="B15" s="21">
        <v>0</v>
      </c>
      <c r="C15" s="21">
        <v>5</v>
      </c>
      <c r="D15" s="19">
        <f t="shared" si="0"/>
        <v>0</v>
      </c>
      <c r="E15" s="21">
        <v>0</v>
      </c>
      <c r="F15" s="20">
        <f t="shared" si="1"/>
        <v>0</v>
      </c>
      <c r="G15" s="118"/>
    </row>
    <row r="16" spans="1:7" ht="12.75" customHeight="1" x14ac:dyDescent="0.2">
      <c r="A16" s="13" t="s">
        <v>22</v>
      </c>
      <c r="B16" s="14">
        <v>0</v>
      </c>
      <c r="C16" s="14">
        <v>0</v>
      </c>
      <c r="D16" s="15">
        <f t="shared" si="0"/>
        <v>0</v>
      </c>
      <c r="E16" s="14">
        <v>0</v>
      </c>
      <c r="F16" s="16">
        <f t="shared" si="1"/>
        <v>0</v>
      </c>
      <c r="G16" s="118"/>
    </row>
    <row r="17" spans="1:10" ht="12.75" customHeight="1" x14ac:dyDescent="0.2">
      <c r="A17" s="121" t="s">
        <v>23</v>
      </c>
      <c r="B17" s="121"/>
      <c r="C17" s="121"/>
      <c r="D17" s="121"/>
      <c r="E17" s="121"/>
      <c r="F17" s="121"/>
      <c r="G17" s="118"/>
    </row>
    <row r="18" spans="1:10" ht="12.75" customHeight="1" x14ac:dyDescent="0.2">
      <c r="A18" s="13" t="s">
        <v>24</v>
      </c>
      <c r="B18" s="14">
        <v>1</v>
      </c>
      <c r="C18" s="14">
        <v>42</v>
      </c>
      <c r="D18" s="15">
        <f>ROUND(B18*C18/12,2)</f>
        <v>3.5</v>
      </c>
      <c r="E18" s="14">
        <v>7</v>
      </c>
      <c r="F18" s="16">
        <f>PRODUCT(D18,E18)</f>
        <v>24.5</v>
      </c>
      <c r="G18" s="118"/>
    </row>
    <row r="19" spans="1:10" ht="12.75" customHeight="1" x14ac:dyDescent="0.2">
      <c r="A19" s="17" t="s">
        <v>25</v>
      </c>
      <c r="B19" s="18">
        <v>0</v>
      </c>
      <c r="C19" s="18">
        <v>200</v>
      </c>
      <c r="D19" s="19">
        <f>ROUND(B19*C19/12,2)</f>
        <v>0</v>
      </c>
      <c r="E19" s="18">
        <v>0</v>
      </c>
      <c r="F19" s="20">
        <f>PRODUCT(D19,E19)</f>
        <v>0</v>
      </c>
      <c r="G19" s="118"/>
    </row>
    <row r="20" spans="1:10" ht="12.75" customHeight="1" x14ac:dyDescent="0.2">
      <c r="A20" s="13" t="s">
        <v>26</v>
      </c>
      <c r="B20" s="14">
        <v>0</v>
      </c>
      <c r="C20" s="14">
        <v>180</v>
      </c>
      <c r="D20" s="15">
        <f>ROUND(B20*C20/12,2)</f>
        <v>0</v>
      </c>
      <c r="E20" s="14">
        <v>0</v>
      </c>
      <c r="F20" s="16">
        <f>PRODUCT(D20,E20)</f>
        <v>0</v>
      </c>
      <c r="G20" s="118"/>
    </row>
    <row r="21" spans="1:10" ht="12.75" customHeight="1" x14ac:dyDescent="0.2">
      <c r="A21" s="17" t="s">
        <v>27</v>
      </c>
      <c r="B21" s="18">
        <v>0</v>
      </c>
      <c r="C21" s="18">
        <v>175</v>
      </c>
      <c r="D21" s="19">
        <f>ROUND(B21*C21/12,2)</f>
        <v>0</v>
      </c>
      <c r="E21" s="18">
        <v>0</v>
      </c>
      <c r="F21" s="20">
        <f>PRODUCT(D21,E21)</f>
        <v>0</v>
      </c>
      <c r="G21" s="118"/>
    </row>
    <row r="22" spans="1:10" ht="12.75" customHeight="1" x14ac:dyDescent="0.2">
      <c r="A22" s="13" t="s">
        <v>22</v>
      </c>
      <c r="B22" s="14">
        <v>0</v>
      </c>
      <c r="C22" s="14">
        <v>0</v>
      </c>
      <c r="D22" s="15">
        <f>ROUND(B22*C22/12,2)</f>
        <v>0</v>
      </c>
      <c r="E22" s="14">
        <v>0</v>
      </c>
      <c r="F22" s="16">
        <f>PRODUCT(D22,E22)</f>
        <v>0</v>
      </c>
      <c r="G22" s="118"/>
    </row>
    <row r="23" spans="1:10" ht="12.75" customHeight="1" x14ac:dyDescent="0.2">
      <c r="A23" s="121" t="s">
        <v>28</v>
      </c>
      <c r="B23" s="121"/>
      <c r="C23" s="121"/>
      <c r="D23" s="121"/>
      <c r="E23" s="121"/>
      <c r="F23" s="121"/>
      <c r="G23" s="118"/>
    </row>
    <row r="24" spans="1:10" ht="12.75" customHeight="1" x14ac:dyDescent="0.2">
      <c r="A24" s="22" t="s">
        <v>29</v>
      </c>
      <c r="B24" s="21">
        <v>0</v>
      </c>
      <c r="C24" s="21">
        <v>40</v>
      </c>
      <c r="D24" s="23">
        <f>ROUND(B24*C24/12,2)</f>
        <v>0</v>
      </c>
      <c r="E24" s="21">
        <v>0</v>
      </c>
      <c r="F24" s="24">
        <f>PRODUCT(D24,E24)</f>
        <v>0</v>
      </c>
      <c r="G24" s="118"/>
    </row>
    <row r="25" spans="1:10" ht="12.75" customHeight="1" x14ac:dyDescent="0.2">
      <c r="A25" s="13" t="s">
        <v>30</v>
      </c>
      <c r="B25" s="14">
        <v>0</v>
      </c>
      <c r="C25" s="14">
        <v>300</v>
      </c>
      <c r="D25" s="15">
        <v>0</v>
      </c>
      <c r="E25" s="14">
        <v>0</v>
      </c>
      <c r="F25" s="16">
        <v>0</v>
      </c>
      <c r="G25" s="118"/>
    </row>
    <row r="26" spans="1:10" ht="12.75" customHeight="1" x14ac:dyDescent="0.2">
      <c r="A26" s="17" t="s">
        <v>31</v>
      </c>
      <c r="B26" s="21">
        <v>1</v>
      </c>
      <c r="C26" s="21">
        <v>30</v>
      </c>
      <c r="D26" s="19">
        <f t="shared" ref="D26:D37" si="2">ROUND(B26*C26/12,2)</f>
        <v>2.5</v>
      </c>
      <c r="E26" s="21">
        <v>0.2</v>
      </c>
      <c r="F26" s="20">
        <f t="shared" ref="F26:F37" si="3">PRODUCT(D26,E26)</f>
        <v>0.5</v>
      </c>
      <c r="G26" s="118"/>
    </row>
    <row r="27" spans="1:10" ht="12.75" customHeight="1" x14ac:dyDescent="0.2">
      <c r="A27" s="13" t="s">
        <v>32</v>
      </c>
      <c r="B27" s="14">
        <v>0</v>
      </c>
      <c r="C27" s="14">
        <v>10</v>
      </c>
      <c r="D27" s="15">
        <f t="shared" si="2"/>
        <v>0</v>
      </c>
      <c r="E27" s="14">
        <v>0</v>
      </c>
      <c r="F27" s="16">
        <f t="shared" si="3"/>
        <v>0</v>
      </c>
      <c r="G27" s="118"/>
    </row>
    <row r="28" spans="1:10" ht="12.75" customHeight="1" x14ac:dyDescent="0.2">
      <c r="A28" s="22" t="s">
        <v>33</v>
      </c>
      <c r="B28" s="21">
        <v>0</v>
      </c>
      <c r="C28" s="21">
        <v>100</v>
      </c>
      <c r="D28" s="19">
        <f t="shared" si="2"/>
        <v>0</v>
      </c>
      <c r="E28" s="21">
        <v>0</v>
      </c>
      <c r="F28" s="20">
        <f t="shared" si="3"/>
        <v>0</v>
      </c>
      <c r="G28" s="118"/>
    </row>
    <row r="29" spans="1:10" ht="12.75" customHeight="1" x14ac:dyDescent="0.2">
      <c r="A29" s="13" t="s">
        <v>34</v>
      </c>
      <c r="B29" s="14">
        <v>2</v>
      </c>
      <c r="C29" s="14">
        <v>0.1</v>
      </c>
      <c r="D29" s="15">
        <f t="shared" si="2"/>
        <v>0.02</v>
      </c>
      <c r="E29" s="14">
        <v>24</v>
      </c>
      <c r="F29" s="16">
        <f t="shared" si="3"/>
        <v>0.48</v>
      </c>
      <c r="G29" s="118"/>
      <c r="J29" s="25"/>
    </row>
    <row r="30" spans="1:10" ht="12.75" customHeight="1" x14ac:dyDescent="0.2">
      <c r="A30" s="22" t="s">
        <v>35</v>
      </c>
      <c r="B30" s="21">
        <v>1</v>
      </c>
      <c r="C30" s="21">
        <v>28</v>
      </c>
      <c r="D30" s="19">
        <f t="shared" si="2"/>
        <v>2.33</v>
      </c>
      <c r="E30" s="21">
        <v>2</v>
      </c>
      <c r="F30" s="20">
        <f t="shared" si="3"/>
        <v>4.66</v>
      </c>
      <c r="G30" s="118"/>
    </row>
    <row r="31" spans="1:10" ht="12.75" customHeight="1" x14ac:dyDescent="0.2">
      <c r="A31" s="13" t="s">
        <v>36</v>
      </c>
      <c r="B31" s="14">
        <v>0</v>
      </c>
      <c r="C31" s="14">
        <v>15</v>
      </c>
      <c r="D31" s="15">
        <f t="shared" si="2"/>
        <v>0</v>
      </c>
      <c r="E31" s="14">
        <v>0</v>
      </c>
      <c r="F31" s="16">
        <f t="shared" si="3"/>
        <v>0</v>
      </c>
      <c r="G31" s="118"/>
    </row>
    <row r="32" spans="1:10" ht="12.75" customHeight="1" x14ac:dyDescent="0.2">
      <c r="A32" s="17" t="s">
        <v>37</v>
      </c>
      <c r="B32" s="21">
        <v>0</v>
      </c>
      <c r="C32" s="21">
        <v>1</v>
      </c>
      <c r="D32" s="23">
        <f t="shared" si="2"/>
        <v>0</v>
      </c>
      <c r="E32" s="21">
        <v>0</v>
      </c>
      <c r="F32" s="20">
        <f t="shared" si="3"/>
        <v>0</v>
      </c>
      <c r="G32" s="118"/>
      <c r="H32" s="26"/>
    </row>
    <row r="33" spans="1:9" ht="12.75" customHeight="1" x14ac:dyDescent="0.2">
      <c r="A33" s="13" t="s">
        <v>38</v>
      </c>
      <c r="B33" s="14">
        <v>0</v>
      </c>
      <c r="C33" s="14">
        <v>0.2</v>
      </c>
      <c r="D33" s="15">
        <f t="shared" si="2"/>
        <v>0</v>
      </c>
      <c r="E33" s="14">
        <v>0</v>
      </c>
      <c r="F33" s="16">
        <f t="shared" si="3"/>
        <v>0</v>
      </c>
      <c r="G33" s="118"/>
      <c r="I33" s="27"/>
    </row>
    <row r="34" spans="1:9" ht="12.75" customHeight="1" x14ac:dyDescent="0.2">
      <c r="A34" s="17" t="s">
        <v>39</v>
      </c>
      <c r="B34" s="21">
        <v>0</v>
      </c>
      <c r="C34" s="21">
        <v>650</v>
      </c>
      <c r="D34" s="23">
        <f t="shared" si="2"/>
        <v>0</v>
      </c>
      <c r="E34" s="21">
        <v>0</v>
      </c>
      <c r="F34" s="20">
        <f t="shared" si="3"/>
        <v>0</v>
      </c>
      <c r="G34" s="118"/>
      <c r="I34" s="27"/>
    </row>
    <row r="35" spans="1:9" ht="12.75" customHeight="1" x14ac:dyDescent="0.2">
      <c r="A35" s="13" t="s">
        <v>40</v>
      </c>
      <c r="B35" s="14">
        <v>0</v>
      </c>
      <c r="C35" s="14">
        <v>45</v>
      </c>
      <c r="D35" s="15">
        <f t="shared" si="2"/>
        <v>0</v>
      </c>
      <c r="E35" s="14">
        <v>0</v>
      </c>
      <c r="F35" s="16">
        <f t="shared" si="3"/>
        <v>0</v>
      </c>
      <c r="G35" s="118"/>
      <c r="I35" s="27"/>
    </row>
    <row r="36" spans="1:9" ht="12.75" customHeight="1" x14ac:dyDescent="0.2">
      <c r="A36" s="17" t="s">
        <v>41</v>
      </c>
      <c r="B36" s="21">
        <v>1</v>
      </c>
      <c r="C36" s="21">
        <v>12</v>
      </c>
      <c r="D36" s="23">
        <f t="shared" si="2"/>
        <v>1</v>
      </c>
      <c r="E36" s="21">
        <v>0.25</v>
      </c>
      <c r="F36" s="20">
        <f t="shared" si="3"/>
        <v>0.25</v>
      </c>
      <c r="G36" s="118"/>
      <c r="I36" s="27"/>
    </row>
    <row r="37" spans="1:9" ht="12.75" customHeight="1" x14ac:dyDescent="0.2">
      <c r="A37" s="28" t="s">
        <v>22</v>
      </c>
      <c r="B37" s="14">
        <v>0</v>
      </c>
      <c r="C37" s="14">
        <v>0</v>
      </c>
      <c r="D37" s="15">
        <f t="shared" si="2"/>
        <v>0</v>
      </c>
      <c r="E37" s="14">
        <v>0</v>
      </c>
      <c r="F37" s="16">
        <f t="shared" si="3"/>
        <v>0</v>
      </c>
      <c r="G37" s="118"/>
    </row>
    <row r="38" spans="1:9" ht="12.75" customHeight="1" x14ac:dyDescent="0.2">
      <c r="A38" s="121" t="s">
        <v>42</v>
      </c>
      <c r="B38" s="121"/>
      <c r="C38" s="121"/>
      <c r="D38" s="121"/>
      <c r="E38" s="121"/>
      <c r="F38" s="121"/>
      <c r="G38" s="118"/>
    </row>
    <row r="39" spans="1:9" ht="12.75" customHeight="1" x14ac:dyDescent="0.2">
      <c r="A39" s="22" t="s">
        <v>22</v>
      </c>
      <c r="B39" s="21">
        <v>0</v>
      </c>
      <c r="C39" s="21">
        <v>0</v>
      </c>
      <c r="D39" s="23">
        <f>ROUND(B39*C39/12,2)</f>
        <v>0</v>
      </c>
      <c r="E39" s="21">
        <v>0</v>
      </c>
      <c r="F39" s="24">
        <f>PRODUCT(D39,E39)</f>
        <v>0</v>
      </c>
      <c r="G39" s="118"/>
    </row>
    <row r="40" spans="1:9" ht="12.75" customHeight="1" x14ac:dyDescent="0.2">
      <c r="A40" s="13" t="s">
        <v>22</v>
      </c>
      <c r="B40" s="14">
        <v>0</v>
      </c>
      <c r="C40" s="14">
        <v>0</v>
      </c>
      <c r="D40" s="29">
        <f>ROUND(B40*C40/12,2)</f>
        <v>0</v>
      </c>
      <c r="E40" s="14">
        <v>0</v>
      </c>
      <c r="F40" s="30">
        <f>PRODUCT(D40,E40)</f>
        <v>0</v>
      </c>
      <c r="G40" s="118"/>
    </row>
    <row r="41" spans="1:9" s="25" customFormat="1" ht="30.6" customHeight="1" x14ac:dyDescent="0.25">
      <c r="A41" s="122" t="s">
        <v>43</v>
      </c>
      <c r="B41" s="122"/>
      <c r="C41" s="122"/>
      <c r="D41" s="122"/>
      <c r="E41" s="122"/>
      <c r="F41" s="31">
        <f>SUM(F8:F40)</f>
        <v>33.454999999999998</v>
      </c>
      <c r="G41" s="118"/>
    </row>
    <row r="42" spans="1:9" ht="29.1" customHeight="1" x14ac:dyDescent="0.25">
      <c r="A42" s="32" t="s">
        <v>44</v>
      </c>
      <c r="B42" s="33"/>
      <c r="C42" s="33"/>
      <c r="D42" s="33"/>
      <c r="E42" s="33"/>
      <c r="F42" s="34">
        <v>140</v>
      </c>
      <c r="G42" s="118"/>
    </row>
    <row r="43" spans="1:9" ht="25.35" customHeight="1" x14ac:dyDescent="0.25">
      <c r="A43" s="35" t="s">
        <v>45</v>
      </c>
      <c r="B43" s="34">
        <v>33</v>
      </c>
      <c r="C43" s="123" t="s">
        <v>46</v>
      </c>
      <c r="D43" s="123"/>
      <c r="E43" s="123"/>
      <c r="F43" s="124"/>
      <c r="G43" s="118"/>
    </row>
    <row r="44" spans="1:9" s="41" customFormat="1" ht="35.85" customHeight="1" x14ac:dyDescent="0.2">
      <c r="A44" s="36" t="s">
        <v>47</v>
      </c>
      <c r="B44" s="37" t="s">
        <v>48</v>
      </c>
      <c r="C44" s="38" t="s">
        <v>49</v>
      </c>
      <c r="D44" s="37" t="s">
        <v>50</v>
      </c>
      <c r="E44" s="39" t="s">
        <v>51</v>
      </c>
      <c r="F44" s="124"/>
      <c r="G44" s="118"/>
      <c r="H44" s="40"/>
    </row>
    <row r="45" spans="1:9" ht="26.85" customHeight="1" x14ac:dyDescent="0.2">
      <c r="A45" s="112" t="s">
        <v>52</v>
      </c>
      <c r="B45" s="112"/>
      <c r="C45" s="112"/>
      <c r="D45" s="112"/>
      <c r="E45" s="42">
        <f>ROUND(($F$42*(B$43/100))/$F$41,1)</f>
        <v>1.4</v>
      </c>
      <c r="F45" s="113"/>
      <c r="G45" s="113"/>
      <c r="H45" s="43"/>
      <c r="I45" s="43"/>
    </row>
    <row r="46" spans="1:9" ht="29.1" customHeight="1" x14ac:dyDescent="0.25">
      <c r="A46" s="44" t="s">
        <v>53</v>
      </c>
      <c r="B46" s="45">
        <v>2</v>
      </c>
      <c r="C46" s="45">
        <v>96</v>
      </c>
      <c r="D46" s="46">
        <f>ROUND(B46*C46/12,2)</f>
        <v>16</v>
      </c>
      <c r="E46" s="42">
        <f>IF(($F$42*(B$43/100))/($F$41-$D$46)&gt;0,ROUND(($F$42*(B$43/100))/($F$41-$D$46),1),"sonsuz")</f>
        <v>2.6</v>
      </c>
      <c r="F46" s="113"/>
      <c r="G46" s="113"/>
    </row>
    <row r="47" spans="1:9" s="43" customFormat="1" ht="27.6" customHeight="1" x14ac:dyDescent="0.25">
      <c r="A47" s="114" t="s">
        <v>54</v>
      </c>
      <c r="B47" s="114"/>
      <c r="C47" s="47">
        <v>90</v>
      </c>
      <c r="D47" s="115"/>
      <c r="E47" s="115"/>
      <c r="F47" s="113"/>
      <c r="G47" s="113"/>
    </row>
    <row r="48" spans="1:9" ht="12.75" customHeight="1" x14ac:dyDescent="0.2">
      <c r="A48" s="48" t="s">
        <v>55</v>
      </c>
      <c r="B48" s="49" t="s">
        <v>56</v>
      </c>
      <c r="C48" s="50">
        <f t="shared" ref="C48:C62" si="4">C$47</f>
        <v>90</v>
      </c>
      <c r="D48" s="51">
        <f>ROUND(C48/2.42,2)</f>
        <v>37.19</v>
      </c>
      <c r="E48" s="52" t="str">
        <f t="shared" ref="E48:E62" si="5">IF(($F$42*(B$43/100))/($F$41-$D48)&gt;0,ROUND(($F$42*(B$43/100))/($F$41-$D48),1),"sonsuz")</f>
        <v>sonsuz</v>
      </c>
      <c r="F48" s="116"/>
      <c r="G48" s="116"/>
    </row>
    <row r="49" spans="1:7" ht="12.75" customHeight="1" x14ac:dyDescent="0.2">
      <c r="A49" s="53" t="s">
        <v>57</v>
      </c>
      <c r="B49" s="54" t="s">
        <v>58</v>
      </c>
      <c r="C49" s="55">
        <f t="shared" si="4"/>
        <v>90</v>
      </c>
      <c r="D49" s="56">
        <f>ROUND(C49/3.23,2)</f>
        <v>27.86</v>
      </c>
      <c r="E49" s="57">
        <f t="shared" si="5"/>
        <v>8.3000000000000007</v>
      </c>
      <c r="F49" s="116"/>
      <c r="G49" s="116"/>
    </row>
    <row r="50" spans="1:7" ht="12.75" customHeight="1" x14ac:dyDescent="0.2">
      <c r="A50" s="58" t="s">
        <v>59</v>
      </c>
      <c r="B50" s="59" t="s">
        <v>60</v>
      </c>
      <c r="C50" s="60">
        <f t="shared" si="4"/>
        <v>90</v>
      </c>
      <c r="D50" s="61">
        <f>ROUND(C50/7.89,2)</f>
        <v>11.41</v>
      </c>
      <c r="E50" s="62">
        <f t="shared" si="5"/>
        <v>2.1</v>
      </c>
      <c r="F50" s="116"/>
      <c r="G50" s="116"/>
    </row>
    <row r="51" spans="1:7" ht="12.75" customHeight="1" x14ac:dyDescent="0.2">
      <c r="A51" s="63" t="s">
        <v>61</v>
      </c>
      <c r="B51" s="64" t="s">
        <v>56</v>
      </c>
      <c r="C51" s="65">
        <f t="shared" si="4"/>
        <v>90</v>
      </c>
      <c r="D51" s="66">
        <f>ROUND(C51/2.34,2)</f>
        <v>38.46</v>
      </c>
      <c r="E51" s="52" t="str">
        <f t="shared" si="5"/>
        <v>sonsuz</v>
      </c>
      <c r="F51" s="116"/>
      <c r="G51" s="116"/>
    </row>
    <row r="52" spans="1:7" ht="12.75" customHeight="1" x14ac:dyDescent="0.2">
      <c r="A52" s="63" t="s">
        <v>62</v>
      </c>
      <c r="B52" s="64" t="s">
        <v>58</v>
      </c>
      <c r="C52" s="65">
        <f t="shared" si="4"/>
        <v>90</v>
      </c>
      <c r="D52" s="66">
        <f>ROUND(C52/3.24,2)</f>
        <v>27.78</v>
      </c>
      <c r="E52" s="57">
        <f t="shared" si="5"/>
        <v>8.1</v>
      </c>
      <c r="F52" s="116"/>
      <c r="G52" s="116"/>
    </row>
    <row r="53" spans="1:7" ht="12.75" customHeight="1" x14ac:dyDescent="0.2">
      <c r="A53" s="63" t="s">
        <v>63</v>
      </c>
      <c r="B53" s="64" t="s">
        <v>60</v>
      </c>
      <c r="C53" s="65">
        <f t="shared" si="4"/>
        <v>90</v>
      </c>
      <c r="D53" s="66">
        <f>ROUND(C53/8.33,2)</f>
        <v>10.8</v>
      </c>
      <c r="E53" s="62">
        <f t="shared" si="5"/>
        <v>2</v>
      </c>
      <c r="F53" s="116"/>
      <c r="G53" s="116"/>
    </row>
    <row r="54" spans="1:7" ht="12.75" customHeight="1" x14ac:dyDescent="0.2">
      <c r="A54" s="48" t="s">
        <v>64</v>
      </c>
      <c r="B54" s="49" t="s">
        <v>56</v>
      </c>
      <c r="C54" s="50">
        <f t="shared" si="4"/>
        <v>90</v>
      </c>
      <c r="D54" s="51">
        <f>ROUND(C54/2.53,2)</f>
        <v>35.57</v>
      </c>
      <c r="E54" s="52" t="str">
        <f t="shared" si="5"/>
        <v>sonsuz</v>
      </c>
      <c r="F54" s="116"/>
      <c r="G54" s="116"/>
    </row>
    <row r="55" spans="1:7" ht="12.75" customHeight="1" x14ac:dyDescent="0.2">
      <c r="A55" s="53" t="s">
        <v>65</v>
      </c>
      <c r="B55" s="54" t="s">
        <v>58</v>
      </c>
      <c r="C55" s="55">
        <f t="shared" si="4"/>
        <v>90</v>
      </c>
      <c r="D55" s="56">
        <f>ROUND(C55/3.97,2)</f>
        <v>22.67</v>
      </c>
      <c r="E55" s="57">
        <f t="shared" si="5"/>
        <v>4.3</v>
      </c>
      <c r="F55" s="116"/>
      <c r="G55" s="116"/>
    </row>
    <row r="56" spans="1:7" ht="12.75" customHeight="1" x14ac:dyDescent="0.2">
      <c r="A56" s="58" t="s">
        <v>66</v>
      </c>
      <c r="B56" s="59" t="s">
        <v>60</v>
      </c>
      <c r="C56" s="60">
        <f t="shared" si="4"/>
        <v>90</v>
      </c>
      <c r="D56" s="61">
        <f>ROUND(C56/11.32,2)</f>
        <v>7.95</v>
      </c>
      <c r="E56" s="62">
        <f t="shared" si="5"/>
        <v>1.8</v>
      </c>
      <c r="F56" s="116"/>
      <c r="G56" s="116"/>
    </row>
    <row r="57" spans="1:7" ht="12.75" customHeight="1" x14ac:dyDescent="0.2">
      <c r="A57" s="63" t="s">
        <v>67</v>
      </c>
      <c r="B57" s="64" t="s">
        <v>56</v>
      </c>
      <c r="C57" s="65">
        <f t="shared" si="4"/>
        <v>90</v>
      </c>
      <c r="D57" s="66">
        <f>ROUND(C57/2.46,2)</f>
        <v>36.590000000000003</v>
      </c>
      <c r="E57" s="52" t="str">
        <f t="shared" si="5"/>
        <v>sonsuz</v>
      </c>
      <c r="F57" s="116"/>
      <c r="G57" s="116"/>
    </row>
    <row r="58" spans="1:7" ht="12.75" customHeight="1" x14ac:dyDescent="0.2">
      <c r="A58" s="63" t="s">
        <v>68</v>
      </c>
      <c r="B58" s="64" t="s">
        <v>58</v>
      </c>
      <c r="C58" s="65">
        <f t="shared" si="4"/>
        <v>90</v>
      </c>
      <c r="D58" s="66">
        <f>ROUND(C58/3.4,2)</f>
        <v>26.47</v>
      </c>
      <c r="E58" s="57">
        <f t="shared" si="5"/>
        <v>6.6</v>
      </c>
      <c r="F58" s="116"/>
      <c r="G58" s="116"/>
    </row>
    <row r="59" spans="1:7" ht="12.75" customHeight="1" x14ac:dyDescent="0.2">
      <c r="A59" s="63" t="s">
        <v>68</v>
      </c>
      <c r="B59" s="64" t="s">
        <v>60</v>
      </c>
      <c r="C59" s="65">
        <f t="shared" si="4"/>
        <v>90</v>
      </c>
      <c r="D59" s="66">
        <f>ROUND(C59/10.26,2)</f>
        <v>8.77</v>
      </c>
      <c r="E59" s="62">
        <f t="shared" si="5"/>
        <v>1.9</v>
      </c>
      <c r="F59" s="116"/>
      <c r="G59" s="116"/>
    </row>
    <row r="60" spans="1:7" ht="12.75" customHeight="1" x14ac:dyDescent="0.2">
      <c r="A60" s="48" t="s">
        <v>69</v>
      </c>
      <c r="B60" s="49" t="s">
        <v>56</v>
      </c>
      <c r="C60" s="50">
        <f t="shared" si="4"/>
        <v>90</v>
      </c>
      <c r="D60" s="51">
        <f>ROUND(C60/3.56,2)</f>
        <v>25.28</v>
      </c>
      <c r="E60" s="52">
        <f t="shared" si="5"/>
        <v>5.7</v>
      </c>
      <c r="F60" s="116"/>
      <c r="G60" s="116"/>
    </row>
    <row r="61" spans="1:7" ht="12.75" customHeight="1" x14ac:dyDescent="0.2">
      <c r="A61" s="53" t="s">
        <v>70</v>
      </c>
      <c r="B61" s="54" t="s">
        <v>58</v>
      </c>
      <c r="C61" s="55">
        <f t="shared" si="4"/>
        <v>90</v>
      </c>
      <c r="D61" s="56">
        <f>ROUND(C61/4.96,2)</f>
        <v>18.149999999999999</v>
      </c>
      <c r="E61" s="57">
        <f t="shared" si="5"/>
        <v>3</v>
      </c>
      <c r="F61" s="116"/>
      <c r="G61" s="116"/>
    </row>
    <row r="62" spans="1:7" ht="12.75" customHeight="1" x14ac:dyDescent="0.2">
      <c r="A62" s="58" t="s">
        <v>71</v>
      </c>
      <c r="B62" s="59" t="s">
        <v>60</v>
      </c>
      <c r="C62" s="60">
        <f t="shared" si="4"/>
        <v>90</v>
      </c>
      <c r="D62" s="61">
        <f>ROUND(C62/13.19,2)</f>
        <v>6.82</v>
      </c>
      <c r="E62" s="62">
        <f t="shared" si="5"/>
        <v>1.7</v>
      </c>
      <c r="F62" s="116"/>
      <c r="G62" s="116"/>
    </row>
    <row r="63" spans="1:7" ht="14.1" customHeight="1" x14ac:dyDescent="0.2">
      <c r="A63" s="117" t="s">
        <v>72</v>
      </c>
      <c r="B63" s="117"/>
      <c r="C63" s="117"/>
      <c r="D63" s="117"/>
      <c r="E63" s="117"/>
      <c r="F63" s="117"/>
      <c r="G63" s="117"/>
    </row>
    <row r="64" spans="1:7" ht="14.1" customHeight="1" x14ac:dyDescent="0.2">
      <c r="A64" s="107"/>
      <c r="B64" s="107"/>
      <c r="C64" s="107"/>
      <c r="D64" s="107"/>
      <c r="E64" s="107"/>
      <c r="F64" s="107"/>
      <c r="G64" s="107"/>
    </row>
    <row r="65" spans="1:7" ht="12.75" customHeight="1" x14ac:dyDescent="0.2">
      <c r="A65" s="67" t="s">
        <v>73</v>
      </c>
      <c r="B65" s="67"/>
      <c r="C65" s="68"/>
      <c r="D65" s="69"/>
      <c r="E65" s="70"/>
      <c r="F65" s="67"/>
      <c r="G65" s="71"/>
    </row>
    <row r="66" spans="1:7" ht="12.75" customHeight="1" x14ac:dyDescent="0.2">
      <c r="A66" s="67" t="s">
        <v>74</v>
      </c>
      <c r="B66" s="67"/>
      <c r="C66" s="68"/>
      <c r="D66" s="69"/>
      <c r="E66" s="70"/>
      <c r="F66" s="67"/>
      <c r="G66" s="71"/>
    </row>
    <row r="67" spans="1:7" ht="12.75" customHeight="1" x14ac:dyDescent="0.2">
      <c r="A67" s="67" t="s">
        <v>75</v>
      </c>
      <c r="B67" s="67"/>
      <c r="C67" s="68"/>
      <c r="D67" s="69"/>
      <c r="E67" s="70"/>
      <c r="F67" s="67"/>
      <c r="G67" s="71"/>
    </row>
    <row r="68" spans="1:7" ht="12.75" customHeight="1" x14ac:dyDescent="0.2">
      <c r="A68" s="67"/>
      <c r="B68" s="72"/>
      <c r="C68" s="72"/>
      <c r="D68" s="72"/>
      <c r="E68" s="72"/>
      <c r="F68" s="72"/>
      <c r="G68" s="71"/>
    </row>
    <row r="69" spans="1:7" ht="12.75" customHeight="1" x14ac:dyDescent="0.2">
      <c r="A69" s="73" t="s">
        <v>76</v>
      </c>
      <c r="B69" s="72"/>
      <c r="C69" s="72"/>
      <c r="D69" s="72"/>
      <c r="E69" s="72"/>
      <c r="F69" s="72"/>
      <c r="G69" s="71"/>
    </row>
    <row r="70" spans="1:7" ht="12.75" customHeight="1" x14ac:dyDescent="0.2">
      <c r="A70" s="73"/>
      <c r="B70" s="72"/>
      <c r="C70" s="72"/>
      <c r="D70" s="72"/>
      <c r="E70" s="72"/>
      <c r="F70" s="72"/>
      <c r="G70" s="71"/>
    </row>
    <row r="71" spans="1:7" ht="15.6" customHeight="1" x14ac:dyDescent="0.2">
      <c r="A71" s="67" t="s">
        <v>77</v>
      </c>
      <c r="B71" s="72"/>
      <c r="C71" s="72"/>
      <c r="D71" s="72"/>
      <c r="E71" s="72"/>
      <c r="F71" s="72"/>
      <c r="G71" s="71"/>
    </row>
    <row r="72" spans="1:7" ht="15.6" customHeight="1" x14ac:dyDescent="0.2">
      <c r="A72" s="108" t="s">
        <v>78</v>
      </c>
      <c r="B72" s="108"/>
      <c r="C72" s="108"/>
      <c r="D72" s="108"/>
      <c r="E72" s="108"/>
      <c r="F72" s="108"/>
      <c r="G72" s="108"/>
    </row>
    <row r="73" spans="1:7" ht="14.1" customHeight="1" x14ac:dyDescent="0.2">
      <c r="A73" s="109"/>
      <c r="B73" s="109"/>
      <c r="C73" s="109"/>
      <c r="D73" s="109"/>
      <c r="E73" s="109"/>
      <c r="F73" s="109"/>
      <c r="G73" s="109"/>
    </row>
    <row r="74" spans="1:7" ht="18.600000000000001" customHeight="1" x14ac:dyDescent="0.2"/>
    <row r="75" spans="1:7" ht="9" customHeight="1" x14ac:dyDescent="0.2"/>
    <row r="97" spans="1:11" ht="17.100000000000001" customHeight="1" x14ac:dyDescent="0.2">
      <c r="A97" s="110"/>
      <c r="B97" s="110"/>
      <c r="C97" s="110"/>
      <c r="D97" s="110"/>
      <c r="E97" s="110"/>
      <c r="F97" s="110"/>
      <c r="G97" s="110"/>
    </row>
    <row r="98" spans="1:11" ht="32.1" customHeight="1" x14ac:dyDescent="0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</row>
    <row r="99" spans="1:11" ht="19.899999999999999" customHeight="1" x14ac:dyDescent="0.25">
      <c r="A99" s="111" t="s">
        <v>79</v>
      </c>
      <c r="B99" s="111"/>
      <c r="C99" s="111"/>
      <c r="D99" s="111"/>
      <c r="E99" s="111"/>
      <c r="F99" s="111"/>
      <c r="G99" s="111"/>
      <c r="H99" s="111"/>
      <c r="I99" s="111"/>
      <c r="J99" s="111"/>
      <c r="K99" s="111"/>
    </row>
    <row r="100" spans="1:11" ht="13.35" customHeight="1" x14ac:dyDescent="0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</row>
    <row r="101" spans="1:11" ht="34.35" customHeight="1" x14ac:dyDescent="0.25">
      <c r="A101" s="104" t="s">
        <v>80</v>
      </c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</row>
    <row r="102" spans="1:11" ht="12.75" customHeight="1" x14ac:dyDescent="0.2">
      <c r="A102" s="74" t="s">
        <v>81</v>
      </c>
      <c r="B102" s="75"/>
      <c r="C102" s="76"/>
      <c r="D102" s="76"/>
      <c r="E102" s="76"/>
      <c r="F102" s="76"/>
      <c r="G102" s="76"/>
      <c r="H102" s="76"/>
      <c r="I102" s="76"/>
      <c r="J102" s="76"/>
      <c r="K102" s="76"/>
    </row>
    <row r="103" spans="1:11" ht="12.75" customHeight="1" x14ac:dyDescent="0.2">
      <c r="A103" s="77" t="s">
        <v>82</v>
      </c>
      <c r="B103" s="78">
        <v>12</v>
      </c>
      <c r="C103" s="105" t="s">
        <v>83</v>
      </c>
      <c r="D103" s="105"/>
      <c r="E103" s="105"/>
      <c r="F103" s="105"/>
      <c r="G103" s="105"/>
      <c r="H103" s="105"/>
      <c r="I103" s="105"/>
      <c r="J103" s="105"/>
      <c r="K103" s="105"/>
    </row>
    <row r="104" spans="1:11" ht="12.75" customHeight="1" x14ac:dyDescent="0.2">
      <c r="A104" s="77" t="s">
        <v>84</v>
      </c>
      <c r="B104" s="78">
        <v>90</v>
      </c>
      <c r="C104" s="100"/>
      <c r="D104" s="100"/>
      <c r="E104" s="100"/>
      <c r="F104" s="100" t="s">
        <v>85</v>
      </c>
      <c r="G104" s="106" t="s">
        <v>86</v>
      </c>
      <c r="H104" s="106"/>
      <c r="I104" s="106"/>
      <c r="J104" s="106"/>
      <c r="K104" s="106"/>
    </row>
    <row r="105" spans="1:11" ht="12.75" customHeight="1" x14ac:dyDescent="0.2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</row>
    <row r="106" spans="1:11" ht="12.75" customHeight="1" x14ac:dyDescent="0.2">
      <c r="A106" s="79" t="s">
        <v>87</v>
      </c>
      <c r="B106" s="101" t="s">
        <v>88</v>
      </c>
      <c r="C106" s="101"/>
      <c r="D106" s="101" t="s">
        <v>89</v>
      </c>
      <c r="E106" s="101"/>
      <c r="F106" s="101" t="s">
        <v>90</v>
      </c>
      <c r="G106" s="101"/>
      <c r="H106" s="101" t="s">
        <v>91</v>
      </c>
      <c r="I106" s="101"/>
      <c r="J106" s="101" t="s">
        <v>92</v>
      </c>
      <c r="K106" s="101"/>
    </row>
    <row r="107" spans="1:11" ht="12.75" customHeight="1" x14ac:dyDescent="0.2">
      <c r="A107" s="80"/>
      <c r="B107" s="81" t="s">
        <v>93</v>
      </c>
      <c r="C107" s="81" t="s">
        <v>94</v>
      </c>
      <c r="D107" s="81" t="s">
        <v>93</v>
      </c>
      <c r="E107" s="81" t="s">
        <v>94</v>
      </c>
      <c r="F107" s="81" t="s">
        <v>93</v>
      </c>
      <c r="G107" s="81" t="s">
        <v>94</v>
      </c>
      <c r="H107" s="81" t="s">
        <v>93</v>
      </c>
      <c r="I107" s="81" t="s">
        <v>94</v>
      </c>
      <c r="J107" s="81" t="s">
        <v>95</v>
      </c>
      <c r="K107" s="81" t="s">
        <v>94</v>
      </c>
    </row>
    <row r="108" spans="1:11" ht="12.75" customHeight="1" x14ac:dyDescent="0.2">
      <c r="A108" s="82" t="s">
        <v>96</v>
      </c>
      <c r="B108" s="83">
        <f>B104*1.63</f>
        <v>146.69999999999999</v>
      </c>
      <c r="C108" s="84">
        <f t="shared" ref="C108:C119" si="6">B108/$B$103</f>
        <v>12.225</v>
      </c>
      <c r="D108" s="83">
        <f>B104*1.55</f>
        <v>139.5</v>
      </c>
      <c r="E108" s="84">
        <f t="shared" ref="E108:E119" si="7">D108/$B$103</f>
        <v>11.625</v>
      </c>
      <c r="F108" s="83">
        <f>B104*1.06</f>
        <v>95.4</v>
      </c>
      <c r="G108" s="84">
        <f t="shared" ref="G108:G119" si="8">F108/$B$103</f>
        <v>7.95</v>
      </c>
      <c r="H108" s="83">
        <f>B104*1.25</f>
        <v>112.5</v>
      </c>
      <c r="I108" s="84">
        <f t="shared" ref="I108:I119" si="9">H108/$B$103</f>
        <v>9.375</v>
      </c>
      <c r="J108" s="83">
        <f>B104*1.11</f>
        <v>99.9</v>
      </c>
      <c r="K108" s="84">
        <f t="shared" ref="K108:K119" si="10">J108/$B$103</f>
        <v>8.3250000000000011</v>
      </c>
    </row>
    <row r="109" spans="1:11" ht="12.75" customHeight="1" x14ac:dyDescent="0.2">
      <c r="A109" s="85" t="s">
        <v>97</v>
      </c>
      <c r="B109" s="86">
        <f>B104*2.12</f>
        <v>190.8</v>
      </c>
      <c r="C109" s="87">
        <f t="shared" si="6"/>
        <v>15.9</v>
      </c>
      <c r="D109" s="86">
        <f>B104*1.96</f>
        <v>176.4</v>
      </c>
      <c r="E109" s="87">
        <f t="shared" si="7"/>
        <v>14.700000000000001</v>
      </c>
      <c r="F109" s="86">
        <f>B104*1.49</f>
        <v>134.1</v>
      </c>
      <c r="G109" s="87">
        <f t="shared" si="8"/>
        <v>11.174999999999999</v>
      </c>
      <c r="H109" s="86">
        <f>B104*1.77</f>
        <v>159.30000000000001</v>
      </c>
      <c r="I109" s="87">
        <f t="shared" si="9"/>
        <v>13.275</v>
      </c>
      <c r="J109" s="86">
        <f>B104*1.52</f>
        <v>136.80000000000001</v>
      </c>
      <c r="K109" s="87">
        <f t="shared" si="10"/>
        <v>11.4</v>
      </c>
    </row>
    <row r="110" spans="1:11" ht="12.75" customHeight="1" x14ac:dyDescent="0.2">
      <c r="A110" s="82" t="s">
        <v>98</v>
      </c>
      <c r="B110" s="83">
        <f>B104*3.14</f>
        <v>282.60000000000002</v>
      </c>
      <c r="C110" s="84">
        <f t="shared" si="6"/>
        <v>23.55</v>
      </c>
      <c r="D110" s="83">
        <f>B104*2.98</f>
        <v>268.2</v>
      </c>
      <c r="E110" s="84">
        <f t="shared" si="7"/>
        <v>22.349999999999998</v>
      </c>
      <c r="F110" s="83">
        <f>B104*2.39</f>
        <v>215.10000000000002</v>
      </c>
      <c r="G110" s="84">
        <f t="shared" si="8"/>
        <v>17.925000000000001</v>
      </c>
      <c r="H110" s="83">
        <f>B104*2.68</f>
        <v>241.20000000000002</v>
      </c>
      <c r="I110" s="84">
        <f t="shared" si="9"/>
        <v>20.100000000000001</v>
      </c>
      <c r="J110" s="83">
        <f>B104*2.08</f>
        <v>187.20000000000002</v>
      </c>
      <c r="K110" s="84">
        <f t="shared" si="10"/>
        <v>15.600000000000001</v>
      </c>
    </row>
    <row r="111" spans="1:11" ht="12.75" customHeight="1" x14ac:dyDescent="0.2">
      <c r="A111" s="85" t="s">
        <v>99</v>
      </c>
      <c r="B111" s="86">
        <f>B104*3.8</f>
        <v>342</v>
      </c>
      <c r="C111" s="87">
        <f t="shared" si="6"/>
        <v>28.5</v>
      </c>
      <c r="D111" s="86">
        <f>B104*3.78</f>
        <v>340.20000000000005</v>
      </c>
      <c r="E111" s="87">
        <f t="shared" si="7"/>
        <v>28.350000000000005</v>
      </c>
      <c r="F111" s="86">
        <f>B104*3.3</f>
        <v>297</v>
      </c>
      <c r="G111" s="87">
        <f t="shared" si="8"/>
        <v>24.75</v>
      </c>
      <c r="H111" s="86">
        <f>B104*3.35</f>
        <v>301.5</v>
      </c>
      <c r="I111" s="87">
        <f t="shared" si="9"/>
        <v>25.125</v>
      </c>
      <c r="J111" s="86">
        <f>B104*2.73</f>
        <v>245.7</v>
      </c>
      <c r="K111" s="87">
        <f t="shared" si="10"/>
        <v>20.474999999999998</v>
      </c>
    </row>
    <row r="112" spans="1:11" ht="12.75" customHeight="1" x14ac:dyDescent="0.2">
      <c r="A112" s="82" t="s">
        <v>100</v>
      </c>
      <c r="B112" s="83">
        <f>B104*4.51</f>
        <v>405.9</v>
      </c>
      <c r="C112" s="84">
        <f t="shared" si="6"/>
        <v>33.824999999999996</v>
      </c>
      <c r="D112" s="83">
        <f>B104*4.64</f>
        <v>417.59999999999997</v>
      </c>
      <c r="E112" s="84">
        <f t="shared" si="7"/>
        <v>34.799999999999997</v>
      </c>
      <c r="F112" s="83">
        <f>B104*4.32</f>
        <v>388.8</v>
      </c>
      <c r="G112" s="84">
        <f t="shared" si="8"/>
        <v>32.4</v>
      </c>
      <c r="H112" s="83">
        <f>B104*4.2</f>
        <v>378</v>
      </c>
      <c r="I112" s="84">
        <f t="shared" si="9"/>
        <v>31.5</v>
      </c>
      <c r="J112" s="83">
        <f>B104*3.5</f>
        <v>315</v>
      </c>
      <c r="K112" s="84">
        <f t="shared" si="10"/>
        <v>26.25</v>
      </c>
    </row>
    <row r="113" spans="1:11" ht="12.75" customHeight="1" x14ac:dyDescent="0.2">
      <c r="A113" s="85" t="s">
        <v>101</v>
      </c>
      <c r="B113" s="86">
        <f>B104*4.99</f>
        <v>449.1</v>
      </c>
      <c r="C113" s="87">
        <f t="shared" si="6"/>
        <v>37.425000000000004</v>
      </c>
      <c r="D113" s="86">
        <f>B104*5.12</f>
        <v>460.8</v>
      </c>
      <c r="E113" s="87">
        <f t="shared" si="7"/>
        <v>38.4</v>
      </c>
      <c r="F113" s="86">
        <f>B104*4.66</f>
        <v>419.40000000000003</v>
      </c>
      <c r="G113" s="87">
        <f t="shared" si="8"/>
        <v>34.950000000000003</v>
      </c>
      <c r="H113" s="86">
        <f>B104*4.65</f>
        <v>418.50000000000006</v>
      </c>
      <c r="I113" s="87">
        <f t="shared" si="9"/>
        <v>34.875000000000007</v>
      </c>
      <c r="J113" s="86">
        <f>B104*3.53</f>
        <v>317.70000000000005</v>
      </c>
      <c r="K113" s="87">
        <f t="shared" si="10"/>
        <v>26.475000000000005</v>
      </c>
    </row>
    <row r="114" spans="1:11" ht="12.75" customHeight="1" x14ac:dyDescent="0.2">
      <c r="A114" s="82" t="s">
        <v>102</v>
      </c>
      <c r="B114" s="83">
        <f>B104*4.95</f>
        <v>445.5</v>
      </c>
      <c r="C114" s="84">
        <f t="shared" si="6"/>
        <v>37.125</v>
      </c>
      <c r="D114" s="83">
        <f>B104*5.13</f>
        <v>461.7</v>
      </c>
      <c r="E114" s="84">
        <f t="shared" si="7"/>
        <v>38.475000000000001</v>
      </c>
      <c r="F114" s="83">
        <f>B104*4.74</f>
        <v>426.6</v>
      </c>
      <c r="G114" s="84">
        <f t="shared" si="8"/>
        <v>35.550000000000004</v>
      </c>
      <c r="H114" s="83">
        <f>B104*4.87</f>
        <v>438.3</v>
      </c>
      <c r="I114" s="84">
        <f t="shared" si="9"/>
        <v>36.524999999999999</v>
      </c>
      <c r="J114" s="83">
        <f>B104*3.37</f>
        <v>303.3</v>
      </c>
      <c r="K114" s="84">
        <f t="shared" si="10"/>
        <v>25.275000000000002</v>
      </c>
    </row>
    <row r="115" spans="1:11" ht="12.75" customHeight="1" x14ac:dyDescent="0.2">
      <c r="A115" s="85" t="s">
        <v>103</v>
      </c>
      <c r="B115" s="86">
        <f>B104*4.47</f>
        <v>402.29999999999995</v>
      </c>
      <c r="C115" s="87">
        <f t="shared" si="6"/>
        <v>33.524999999999999</v>
      </c>
      <c r="D115" s="86">
        <f>B104*4.62</f>
        <v>415.8</v>
      </c>
      <c r="E115" s="87">
        <f t="shared" si="7"/>
        <v>34.65</v>
      </c>
      <c r="F115" s="86">
        <f>B104*4.09</f>
        <v>368.09999999999997</v>
      </c>
      <c r="G115" s="87">
        <f t="shared" si="8"/>
        <v>30.674999999999997</v>
      </c>
      <c r="H115" s="86">
        <f>B104*4.42</f>
        <v>397.8</v>
      </c>
      <c r="I115" s="87">
        <f t="shared" si="9"/>
        <v>33.15</v>
      </c>
      <c r="J115" s="86">
        <f>B104*2.8</f>
        <v>251.99999999999997</v>
      </c>
      <c r="K115" s="87">
        <f t="shared" si="10"/>
        <v>20.999999999999996</v>
      </c>
    </row>
    <row r="116" spans="1:11" ht="12.75" customHeight="1" x14ac:dyDescent="0.2">
      <c r="A116" s="82" t="s">
        <v>104</v>
      </c>
      <c r="B116" s="83">
        <f>B104*3.72</f>
        <v>334.79999999999995</v>
      </c>
      <c r="C116" s="84">
        <f t="shared" si="6"/>
        <v>27.899999999999995</v>
      </c>
      <c r="D116" s="83">
        <f>B104*3.7</f>
        <v>333</v>
      </c>
      <c r="E116" s="84">
        <f t="shared" si="7"/>
        <v>27.75</v>
      </c>
      <c r="F116" s="83">
        <f>B104*3.02</f>
        <v>271.8</v>
      </c>
      <c r="G116" s="84">
        <f t="shared" si="8"/>
        <v>22.650000000000002</v>
      </c>
      <c r="H116" s="83">
        <f>B104*3.53</f>
        <v>317.70000000000005</v>
      </c>
      <c r="I116" s="84">
        <f t="shared" si="9"/>
        <v>26.475000000000005</v>
      </c>
      <c r="J116" s="83">
        <f>B104*2.42</f>
        <v>217.79999999999998</v>
      </c>
      <c r="K116" s="84">
        <f t="shared" si="10"/>
        <v>18.149999999999999</v>
      </c>
    </row>
    <row r="117" spans="1:11" ht="12.75" customHeight="1" x14ac:dyDescent="0.2">
      <c r="A117" s="85" t="s">
        <v>105</v>
      </c>
      <c r="B117" s="86">
        <f>B104*2.7</f>
        <v>243.00000000000003</v>
      </c>
      <c r="C117" s="87">
        <f t="shared" si="6"/>
        <v>20.250000000000004</v>
      </c>
      <c r="D117" s="86">
        <f>B104*2.64</f>
        <v>237.60000000000002</v>
      </c>
      <c r="E117" s="87">
        <f t="shared" si="7"/>
        <v>19.8</v>
      </c>
      <c r="F117" s="86">
        <f>B104*1.94</f>
        <v>174.6</v>
      </c>
      <c r="G117" s="87">
        <f t="shared" si="8"/>
        <v>14.549999999999999</v>
      </c>
      <c r="H117" s="86">
        <f>B104*2.38</f>
        <v>214.2</v>
      </c>
      <c r="I117" s="87">
        <f t="shared" si="9"/>
        <v>17.849999999999998</v>
      </c>
      <c r="J117" s="86">
        <f>B104*1.78</f>
        <v>160.19999999999999</v>
      </c>
      <c r="K117" s="87">
        <f t="shared" si="10"/>
        <v>13.35</v>
      </c>
    </row>
    <row r="118" spans="1:11" ht="12.75" customHeight="1" x14ac:dyDescent="0.2">
      <c r="A118" s="82" t="s">
        <v>106</v>
      </c>
      <c r="B118" s="83">
        <f>B104*1.9</f>
        <v>171</v>
      </c>
      <c r="C118" s="84">
        <f t="shared" si="6"/>
        <v>14.25</v>
      </c>
      <c r="D118" s="83">
        <f>B104*1.8</f>
        <v>162</v>
      </c>
      <c r="E118" s="84">
        <f t="shared" si="7"/>
        <v>13.5</v>
      </c>
      <c r="F118" s="83">
        <f>B104*1.3</f>
        <v>117</v>
      </c>
      <c r="G118" s="84">
        <f t="shared" si="8"/>
        <v>9.75</v>
      </c>
      <c r="H118" s="83">
        <f>B104*1.65</f>
        <v>148.5</v>
      </c>
      <c r="I118" s="84">
        <f t="shared" si="9"/>
        <v>12.375</v>
      </c>
      <c r="J118" s="83">
        <f>B104*1.35</f>
        <v>121.50000000000001</v>
      </c>
      <c r="K118" s="84">
        <f t="shared" si="10"/>
        <v>10.125000000000002</v>
      </c>
    </row>
    <row r="119" spans="1:11" ht="12.75" customHeight="1" x14ac:dyDescent="0.2">
      <c r="A119" s="85" t="s">
        <v>107</v>
      </c>
      <c r="B119" s="86">
        <f>B104*1.52</f>
        <v>136.80000000000001</v>
      </c>
      <c r="C119" s="87">
        <f t="shared" si="6"/>
        <v>11.4</v>
      </c>
      <c r="D119" s="86">
        <f>B104*1.44</f>
        <v>129.6</v>
      </c>
      <c r="E119" s="87">
        <f t="shared" si="7"/>
        <v>10.799999999999999</v>
      </c>
      <c r="F119" s="86">
        <f>B104*1.06</f>
        <v>95.4</v>
      </c>
      <c r="G119" s="87">
        <f t="shared" si="8"/>
        <v>7.95</v>
      </c>
      <c r="H119" s="86">
        <f>B104*1.17</f>
        <v>105.3</v>
      </c>
      <c r="I119" s="87">
        <f t="shared" si="9"/>
        <v>8.7750000000000004</v>
      </c>
      <c r="J119" s="86">
        <f>B104*0.91</f>
        <v>81.900000000000006</v>
      </c>
      <c r="K119" s="87">
        <f t="shared" si="10"/>
        <v>6.8250000000000002</v>
      </c>
    </row>
    <row r="120" spans="1:11" ht="12.75" customHeight="1" x14ac:dyDescent="0.2">
      <c r="A120" s="102"/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</row>
    <row r="121" spans="1:11" ht="12.75" customHeight="1" x14ac:dyDescent="0.2">
      <c r="A121" s="102"/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</row>
    <row r="122" spans="1:11" ht="32.85" customHeight="1" x14ac:dyDescent="0.25">
      <c r="A122" s="98" t="s">
        <v>108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</row>
    <row r="123" spans="1:11" ht="12.75" customHeight="1" x14ac:dyDescent="0.2">
      <c r="A123" s="74" t="s">
        <v>109</v>
      </c>
      <c r="B123" s="88"/>
      <c r="C123" s="88"/>
      <c r="D123" s="88"/>
      <c r="E123" s="88"/>
      <c r="F123" s="88"/>
      <c r="G123" s="88"/>
      <c r="H123" s="88"/>
      <c r="I123" s="88"/>
      <c r="J123" s="88"/>
      <c r="K123" s="88"/>
    </row>
    <row r="124" spans="1:11" ht="12.75" customHeight="1" x14ac:dyDescent="0.25">
      <c r="A124" s="77" t="s">
        <v>110</v>
      </c>
      <c r="B124" s="89"/>
      <c r="C124" s="90">
        <v>33</v>
      </c>
      <c r="D124" s="99"/>
      <c r="E124" s="99"/>
      <c r="F124" s="99"/>
      <c r="G124" s="99"/>
      <c r="H124" s="99"/>
      <c r="I124" s="99"/>
      <c r="J124" s="99"/>
      <c r="K124" s="99"/>
    </row>
    <row r="125" spans="1:11" ht="12.75" customHeight="1" x14ac:dyDescent="0.2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</row>
    <row r="126" spans="1:11" ht="12.75" customHeight="1" x14ac:dyDescent="0.2">
      <c r="A126" s="79" t="s">
        <v>87</v>
      </c>
      <c r="B126" s="101" t="s">
        <v>111</v>
      </c>
      <c r="C126" s="101"/>
      <c r="D126" s="101" t="s">
        <v>112</v>
      </c>
      <c r="E126" s="101"/>
      <c r="F126" s="101" t="s">
        <v>113</v>
      </c>
      <c r="G126" s="101"/>
      <c r="H126" s="101" t="s">
        <v>114</v>
      </c>
      <c r="I126" s="101"/>
      <c r="J126" s="101" t="s">
        <v>115</v>
      </c>
      <c r="K126" s="101"/>
    </row>
    <row r="127" spans="1:11" ht="12.75" customHeight="1" x14ac:dyDescent="0.2">
      <c r="A127" s="91" t="s">
        <v>96</v>
      </c>
      <c r="B127" s="92"/>
      <c r="C127" s="93">
        <f>7.36*C124</f>
        <v>242.88000000000002</v>
      </c>
      <c r="D127" s="94"/>
      <c r="E127" s="93">
        <f>7.74*C124</f>
        <v>255.42000000000002</v>
      </c>
      <c r="F127" s="94"/>
      <c r="G127" s="93">
        <f>11.32*C124</f>
        <v>373.56</v>
      </c>
      <c r="H127" s="94"/>
      <c r="I127" s="93">
        <f>9.6*C124</f>
        <v>316.8</v>
      </c>
      <c r="J127" s="94"/>
      <c r="K127" s="93">
        <f>10.81*C124</f>
        <v>356.73</v>
      </c>
    </row>
    <row r="128" spans="1:11" ht="12.75" customHeight="1" x14ac:dyDescent="0.2">
      <c r="A128" s="85" t="s">
        <v>97</v>
      </c>
      <c r="B128" s="95"/>
      <c r="C128" s="96">
        <f>5.66*C124</f>
        <v>186.78</v>
      </c>
      <c r="D128" s="95"/>
      <c r="E128" s="96">
        <f>6.12*C124</f>
        <v>201.96</v>
      </c>
      <c r="F128" s="95"/>
      <c r="G128" s="96">
        <f>8.05*C124</f>
        <v>265.65000000000003</v>
      </c>
      <c r="H128" s="95"/>
      <c r="I128" s="96">
        <f>6.78*C124</f>
        <v>223.74</v>
      </c>
      <c r="J128" s="95"/>
      <c r="K128" s="96">
        <f>7.89*C124</f>
        <v>260.37</v>
      </c>
    </row>
    <row r="129" spans="1:256" ht="12.75" customHeight="1" x14ac:dyDescent="0.2">
      <c r="A129" s="91" t="s">
        <v>98</v>
      </c>
      <c r="B129" s="92"/>
      <c r="C129" s="93">
        <f>3.82*C124</f>
        <v>126.06</v>
      </c>
      <c r="D129" s="92"/>
      <c r="E129" s="93">
        <f>4.03*C124</f>
        <v>132.99</v>
      </c>
      <c r="F129" s="92"/>
      <c r="G129" s="93">
        <f>5.02*C124</f>
        <v>165.66</v>
      </c>
      <c r="H129" s="92"/>
      <c r="I129" s="93">
        <f>4.48*C124</f>
        <v>147.84</v>
      </c>
      <c r="J129" s="92"/>
      <c r="K129" s="93">
        <f>5.77*C124</f>
        <v>190.41</v>
      </c>
    </row>
    <row r="130" spans="1:256" ht="12.75" customHeight="1" x14ac:dyDescent="0.2">
      <c r="A130" s="85" t="s">
        <v>99</v>
      </c>
      <c r="B130" s="95"/>
      <c r="C130" s="96">
        <f>3.16*C124</f>
        <v>104.28</v>
      </c>
      <c r="D130" s="95"/>
      <c r="E130" s="96">
        <f>3.17*C124</f>
        <v>104.61</v>
      </c>
      <c r="F130" s="95"/>
      <c r="G130" s="96">
        <f>3.64*C124</f>
        <v>120.12</v>
      </c>
      <c r="H130" s="95"/>
      <c r="I130" s="96">
        <f>3.58*C124</f>
        <v>118.14</v>
      </c>
      <c r="J130" s="95"/>
      <c r="K130" s="96">
        <f>4.4*C124</f>
        <v>145.20000000000002</v>
      </c>
    </row>
    <row r="131" spans="1:256" ht="12.75" customHeight="1" x14ac:dyDescent="0.2">
      <c r="A131" s="91" t="s">
        <v>100</v>
      </c>
      <c r="B131" s="92"/>
      <c r="C131" s="93">
        <f>2.66*C124</f>
        <v>87.78</v>
      </c>
      <c r="D131" s="92"/>
      <c r="E131" s="93">
        <f>2.59*C124</f>
        <v>85.47</v>
      </c>
      <c r="F131" s="92"/>
      <c r="G131" s="93">
        <f>2.78*C124</f>
        <v>91.740000000000009</v>
      </c>
      <c r="H131" s="92"/>
      <c r="I131" s="93">
        <f>2.86*C124</f>
        <v>94.38</v>
      </c>
      <c r="J131" s="92"/>
      <c r="K131" s="93">
        <f>3.43*C124</f>
        <v>113.19000000000001</v>
      </c>
    </row>
    <row r="132" spans="1:256" ht="12.75" customHeight="1" x14ac:dyDescent="0.2">
      <c r="A132" s="85" t="s">
        <v>101</v>
      </c>
      <c r="B132" s="95"/>
      <c r="C132" s="96">
        <f>2.4*C124</f>
        <v>79.2</v>
      </c>
      <c r="D132" s="95"/>
      <c r="E132" s="96">
        <f>2.34*C124</f>
        <v>77.22</v>
      </c>
      <c r="F132" s="95"/>
      <c r="G132" s="96">
        <f>2.58*C124</f>
        <v>85.14</v>
      </c>
      <c r="H132" s="95"/>
      <c r="I132" s="96">
        <f>2.58*C124</f>
        <v>85.14</v>
      </c>
      <c r="J132" s="95"/>
      <c r="K132" s="96">
        <f>3.4*C124</f>
        <v>112.2</v>
      </c>
    </row>
    <row r="133" spans="1:256" ht="12.75" customHeight="1" x14ac:dyDescent="0.2">
      <c r="A133" s="91" t="s">
        <v>102</v>
      </c>
      <c r="B133" s="92"/>
      <c r="C133" s="93">
        <f>2.42*C124</f>
        <v>79.86</v>
      </c>
      <c r="D133" s="92"/>
      <c r="E133" s="93">
        <f>2.34*C124</f>
        <v>77.22</v>
      </c>
      <c r="F133" s="92"/>
      <c r="G133" s="93">
        <f>2.53*C124</f>
        <v>83.490000000000009</v>
      </c>
      <c r="H133" s="92"/>
      <c r="I133" s="93">
        <f>2.46*C124</f>
        <v>81.179999999999993</v>
      </c>
      <c r="J133" s="92"/>
      <c r="K133" s="93">
        <f>3.56*C124</f>
        <v>117.48</v>
      </c>
    </row>
    <row r="134" spans="1:256" ht="12.75" customHeight="1" x14ac:dyDescent="0.2">
      <c r="A134" s="85" t="s">
        <v>103</v>
      </c>
      <c r="B134" s="95"/>
      <c r="C134" s="96">
        <f>2.68*C124</f>
        <v>88.440000000000012</v>
      </c>
      <c r="D134" s="95"/>
      <c r="E134" s="96">
        <f>2.6*C124</f>
        <v>85.8</v>
      </c>
      <c r="F134" s="95"/>
      <c r="G134" s="96">
        <f>2.93*C124</f>
        <v>96.690000000000012</v>
      </c>
      <c r="H134" s="95"/>
      <c r="I134" s="96">
        <f>2.71*C124</f>
        <v>89.429999999999993</v>
      </c>
      <c r="J134" s="95"/>
      <c r="K134" s="96">
        <f>4.29*C124</f>
        <v>141.57</v>
      </c>
    </row>
    <row r="135" spans="1:256" ht="12.75" customHeight="1" x14ac:dyDescent="0.2">
      <c r="A135" s="91" t="s">
        <v>104</v>
      </c>
      <c r="B135" s="92"/>
      <c r="C135" s="93">
        <f>3.23*C124</f>
        <v>106.59</v>
      </c>
      <c r="D135" s="92"/>
      <c r="E135" s="93">
        <f>3.24*C124</f>
        <v>106.92</v>
      </c>
      <c r="F135" s="92"/>
      <c r="G135" s="93">
        <f>3.97*C124</f>
        <v>131.01</v>
      </c>
      <c r="H135" s="92"/>
      <c r="I135" s="93">
        <f>3.4*C124</f>
        <v>112.2</v>
      </c>
      <c r="J135" s="92"/>
      <c r="K135" s="93">
        <f>4.96*C124</f>
        <v>163.68</v>
      </c>
    </row>
    <row r="136" spans="1:256" ht="12.75" customHeight="1" x14ac:dyDescent="0.2">
      <c r="A136" s="85" t="s">
        <v>105</v>
      </c>
      <c r="B136" s="95"/>
      <c r="C136" s="96">
        <f>4.44*C124</f>
        <v>146.52000000000001</v>
      </c>
      <c r="D136" s="95"/>
      <c r="E136" s="96">
        <f>4.55*C124</f>
        <v>150.15</v>
      </c>
      <c r="F136" s="95"/>
      <c r="G136" s="96">
        <f>6.19*C124</f>
        <v>204.27</v>
      </c>
      <c r="H136" s="95"/>
      <c r="I136" s="96">
        <f>5.04*C124</f>
        <v>166.32</v>
      </c>
      <c r="J136" s="95"/>
      <c r="K136" s="96">
        <f>6.74*C124</f>
        <v>222.42000000000002</v>
      </c>
    </row>
    <row r="137" spans="1:256" ht="12.75" customHeight="1" x14ac:dyDescent="0.2">
      <c r="A137" s="91" t="s">
        <v>106</v>
      </c>
      <c r="B137" s="92"/>
      <c r="C137" s="93">
        <f>6.32*C124</f>
        <v>208.56</v>
      </c>
      <c r="D137" s="92"/>
      <c r="E137" s="93">
        <f>6.67*C124</f>
        <v>220.10999999999999</v>
      </c>
      <c r="F137" s="92"/>
      <c r="G137" s="93">
        <f>9.23*C124</f>
        <v>304.59000000000003</v>
      </c>
      <c r="H137" s="92"/>
      <c r="I137" s="93">
        <f>7.27*C124</f>
        <v>239.91</v>
      </c>
      <c r="J137" s="92"/>
      <c r="K137" s="93">
        <f>8.89*C124</f>
        <v>293.37</v>
      </c>
    </row>
    <row r="138" spans="1:256" ht="12.75" customHeight="1" x14ac:dyDescent="0.2">
      <c r="A138" s="85" t="s">
        <v>107</v>
      </c>
      <c r="B138" s="95"/>
      <c r="C138" s="96">
        <f>7.89*C124</f>
        <v>260.37</v>
      </c>
      <c r="D138" s="95"/>
      <c r="E138" s="96">
        <f>8.33*C124</f>
        <v>274.89</v>
      </c>
      <c r="F138" s="95"/>
      <c r="G138" s="96">
        <f>11.32*C124</f>
        <v>373.56</v>
      </c>
      <c r="H138" s="95"/>
      <c r="I138" s="96">
        <f>10.26*C124</f>
        <v>338.58</v>
      </c>
      <c r="J138" s="95"/>
      <c r="K138" s="96">
        <f>13.19*C124</f>
        <v>435.27</v>
      </c>
    </row>
    <row r="139" spans="1:256" ht="23.1" customHeight="1" x14ac:dyDescent="0.2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</row>
    <row r="140" spans="1:256" ht="12.75" customHeigh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</row>
  </sheetData>
  <sheetProtection password="D86F" sheet="1"/>
  <mergeCells count="43">
    <mergeCell ref="G1:G44"/>
    <mergeCell ref="A2:F3"/>
    <mergeCell ref="A6:F6"/>
    <mergeCell ref="A7:F7"/>
    <mergeCell ref="A17:F17"/>
    <mergeCell ref="A23:F23"/>
    <mergeCell ref="A38:F38"/>
    <mergeCell ref="A41:E41"/>
    <mergeCell ref="C43:E43"/>
    <mergeCell ref="F43:F44"/>
    <mergeCell ref="A99:K99"/>
    <mergeCell ref="A45:D45"/>
    <mergeCell ref="F45:G47"/>
    <mergeCell ref="A47:B47"/>
    <mergeCell ref="D47:E47"/>
    <mergeCell ref="F48:G62"/>
    <mergeCell ref="A63:G63"/>
    <mergeCell ref="A64:G64"/>
    <mergeCell ref="A72:G72"/>
    <mergeCell ref="A73:G73"/>
    <mergeCell ref="A97:G97"/>
    <mergeCell ref="A98:K98"/>
    <mergeCell ref="A120:K121"/>
    <mergeCell ref="A100:K100"/>
    <mergeCell ref="A101:K101"/>
    <mergeCell ref="C103:K103"/>
    <mergeCell ref="C104:F104"/>
    <mergeCell ref="G104:K104"/>
    <mergeCell ref="A105:K105"/>
    <mergeCell ref="B106:C106"/>
    <mergeCell ref="D106:E106"/>
    <mergeCell ref="F106:G106"/>
    <mergeCell ref="H106:I106"/>
    <mergeCell ref="J106:K106"/>
    <mergeCell ref="A139:K139"/>
    <mergeCell ref="A122:K122"/>
    <mergeCell ref="D124:K124"/>
    <mergeCell ref="A125:K125"/>
    <mergeCell ref="B126:C126"/>
    <mergeCell ref="D126:E126"/>
    <mergeCell ref="F126:G126"/>
    <mergeCell ref="H126:I126"/>
    <mergeCell ref="J126:K126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&amp;CSeite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AKÜ-SOLAR-TÜKETICI-CETVELLERİ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Aylin Amrani-Hanchi</cp:lastModifiedBy>
  <dcterms:created xsi:type="dcterms:W3CDTF">2017-02-07T15:51:49Z</dcterms:created>
  <dcterms:modified xsi:type="dcterms:W3CDTF">2017-02-07T16:26:23Z</dcterms:modified>
</cp:coreProperties>
</file>