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workbookProtection lockStructure="1"/>
  <bookViews>
    <workbookView xWindow="0" yWindow="0" windowWidth="16380" windowHeight="8190" tabRatio="264"/>
  </bookViews>
  <sheets>
    <sheet name="Tabelle1" sheetId="1" r:id="rId1"/>
    <sheet name="Tabelle2" sheetId="2" r:id="rId2"/>
    <sheet name="Tabelle3" sheetId="3" r:id="rId3"/>
  </sheets>
  <calcPr calcId="101716"/>
</workbook>
</file>

<file path=xl/calcChain.xml><?xml version="1.0" encoding="utf-8"?>
<calcChain xmlns="http://schemas.openxmlformats.org/spreadsheetml/2006/main">
  <c r="B10" i="1"/>
  <c r="C10"/>
  <c r="D10"/>
  <c r="E10"/>
  <c r="F10"/>
  <c r="G10"/>
  <c r="H10"/>
  <c r="I10"/>
  <c r="J10"/>
  <c r="K10"/>
  <c r="B11"/>
  <c r="C11"/>
  <c r="D11"/>
  <c r="E11"/>
  <c r="F11"/>
  <c r="G11"/>
  <c r="H11"/>
  <c r="I11"/>
  <c r="J11"/>
  <c r="K11"/>
  <c r="B12"/>
  <c r="C12"/>
  <c r="D12"/>
  <c r="E12"/>
  <c r="F12"/>
  <c r="G12"/>
  <c r="H12"/>
  <c r="I12"/>
  <c r="J12"/>
  <c r="K12"/>
  <c r="B13"/>
  <c r="C13"/>
  <c r="D13"/>
  <c r="E13"/>
  <c r="F13"/>
  <c r="G13"/>
  <c r="H13"/>
  <c r="I13"/>
  <c r="J13"/>
  <c r="K13"/>
  <c r="B14"/>
  <c r="C14"/>
  <c r="D14"/>
  <c r="E14"/>
  <c r="F14"/>
  <c r="G14"/>
  <c r="H14"/>
  <c r="I14"/>
  <c r="J14"/>
  <c r="K14"/>
  <c r="B15"/>
  <c r="C15"/>
  <c r="D15"/>
  <c r="E15"/>
  <c r="F15"/>
  <c r="G15"/>
  <c r="H15"/>
  <c r="I15"/>
  <c r="J15"/>
  <c r="K15"/>
  <c r="B16"/>
  <c r="C16"/>
  <c r="D16"/>
  <c r="E16"/>
  <c r="F16"/>
  <c r="G16"/>
  <c r="H16"/>
  <c r="I16"/>
  <c r="J16"/>
  <c r="K16"/>
  <c r="B17"/>
  <c r="C17"/>
  <c r="D17"/>
  <c r="E17"/>
  <c r="F17"/>
  <c r="G17"/>
  <c r="H17"/>
  <c r="I17"/>
  <c r="J17"/>
  <c r="K17"/>
  <c r="B18"/>
  <c r="C18"/>
  <c r="D18"/>
  <c r="E18"/>
  <c r="F18"/>
  <c r="G18"/>
  <c r="H18"/>
  <c r="I18"/>
  <c r="J18"/>
  <c r="K18"/>
  <c r="B19"/>
  <c r="C19"/>
  <c r="D19"/>
  <c r="E19"/>
  <c r="F19"/>
  <c r="G19"/>
  <c r="H19"/>
  <c r="I19"/>
  <c r="J19"/>
  <c r="K19"/>
  <c r="B20"/>
  <c r="C20"/>
  <c r="D20"/>
  <c r="E20"/>
  <c r="F20"/>
  <c r="G20"/>
  <c r="H20"/>
  <c r="I20"/>
  <c r="J20"/>
  <c r="K20"/>
  <c r="B21"/>
  <c r="C21"/>
  <c r="D21"/>
  <c r="E21"/>
  <c r="F21"/>
  <c r="G21"/>
  <c r="H21"/>
  <c r="I21"/>
  <c r="J21"/>
  <c r="K21"/>
  <c r="C28"/>
  <c r="E28"/>
  <c r="G28"/>
  <c r="I28"/>
  <c r="K28"/>
  <c r="C29"/>
  <c r="E29"/>
  <c r="G29"/>
  <c r="I29"/>
  <c r="K29"/>
  <c r="C30"/>
  <c r="E30"/>
  <c r="G30"/>
  <c r="I30"/>
  <c r="K30"/>
  <c r="C31"/>
  <c r="E31"/>
  <c r="G31"/>
  <c r="I31"/>
  <c r="K31"/>
  <c r="C32"/>
  <c r="E32"/>
  <c r="G32"/>
  <c r="I32"/>
  <c r="K32"/>
  <c r="C33"/>
  <c r="E33"/>
  <c r="G33"/>
  <c r="I33"/>
  <c r="K33"/>
  <c r="C34"/>
  <c r="E34"/>
  <c r="G34"/>
  <c r="I34"/>
  <c r="K34"/>
  <c r="C35"/>
  <c r="E35"/>
  <c r="G35"/>
  <c r="I35"/>
  <c r="K35"/>
  <c r="C36"/>
  <c r="E36"/>
  <c r="G36"/>
  <c r="I36"/>
  <c r="K36"/>
  <c r="C37"/>
  <c r="E37"/>
  <c r="G37"/>
  <c r="I37"/>
  <c r="K37"/>
  <c r="C38"/>
  <c r="E38"/>
  <c r="G38"/>
  <c r="I38"/>
  <c r="K38"/>
  <c r="C39"/>
  <c r="E39"/>
  <c r="G39"/>
  <c r="I39"/>
  <c r="K39"/>
  <c r="D6" i="2"/>
  <c r="F6"/>
  <c r="D7"/>
  <c r="F7"/>
  <c r="D8"/>
  <c r="F8"/>
  <c r="D9"/>
  <c r="F9"/>
  <c r="D10"/>
  <c r="F10"/>
  <c r="D11"/>
  <c r="F11"/>
  <c r="D12"/>
  <c r="F12"/>
  <c r="D13"/>
  <c r="F13"/>
  <c r="D14"/>
  <c r="F14"/>
  <c r="D16"/>
  <c r="F16"/>
  <c r="D17"/>
  <c r="F17"/>
  <c r="D18"/>
  <c r="F18"/>
  <c r="D19"/>
  <c r="F19"/>
  <c r="D20"/>
  <c r="F20"/>
  <c r="D22"/>
  <c r="F22"/>
  <c r="D24"/>
  <c r="F24"/>
  <c r="D25"/>
  <c r="F25"/>
  <c r="D26"/>
  <c r="F26"/>
  <c r="D27"/>
  <c r="F27"/>
  <c r="D28"/>
  <c r="F28"/>
  <c r="D29"/>
  <c r="F29"/>
  <c r="D30"/>
  <c r="F30"/>
  <c r="D31"/>
  <c r="F31"/>
  <c r="D32"/>
  <c r="F32"/>
  <c r="D33"/>
  <c r="F33"/>
  <c r="D34"/>
  <c r="F34"/>
  <c r="D35"/>
  <c r="F35"/>
  <c r="D37"/>
  <c r="F37"/>
  <c r="D38"/>
  <c r="F38"/>
  <c r="F39"/>
  <c r="F41"/>
  <c r="E45"/>
  <c r="D46"/>
  <c r="E46"/>
  <c r="C48"/>
  <c r="D48"/>
  <c r="E48"/>
  <c r="C49"/>
  <c r="D49"/>
  <c r="E49"/>
  <c r="C50"/>
  <c r="D50"/>
  <c r="E50"/>
  <c r="C51"/>
  <c r="D51"/>
  <c r="E51"/>
  <c r="C52"/>
  <c r="D52"/>
  <c r="E52"/>
  <c r="C53"/>
  <c r="D53"/>
  <c r="E53"/>
  <c r="C54"/>
  <c r="D54"/>
  <c r="E54"/>
  <c r="C55"/>
  <c r="D55"/>
  <c r="E55"/>
  <c r="C56"/>
  <c r="D56"/>
  <c r="E56"/>
  <c r="C57"/>
  <c r="D57"/>
  <c r="E57"/>
  <c r="C58"/>
  <c r="D58"/>
  <c r="E58"/>
  <c r="C59"/>
  <c r="D59"/>
  <c r="E59"/>
  <c r="C60"/>
  <c r="D60"/>
  <c r="E60"/>
  <c r="C61"/>
  <c r="D61"/>
  <c r="E61"/>
  <c r="C62"/>
  <c r="D62"/>
  <c r="E62"/>
</calcChain>
</file>

<file path=xl/sharedStrings.xml><?xml version="1.0" encoding="utf-8"?>
<sst xmlns="http://schemas.openxmlformats.org/spreadsheetml/2006/main" count="246" uniqueCount="204">
  <si>
    <r>
      <t xml:space="preserve">                                                                                             </t>
    </r>
    <r>
      <rPr>
        <b/>
        <sz val="11"/>
        <color indexed="12"/>
        <rFont val="Arial"/>
        <family val="2"/>
        <charset val="162"/>
      </rPr>
      <t xml:space="preserve">    </t>
    </r>
    <r>
      <rPr>
        <b/>
        <sz val="11"/>
        <color indexed="13"/>
        <rFont val="Arial"/>
        <family val="2"/>
        <charset val="162"/>
      </rPr>
      <t xml:space="preserve"> </t>
    </r>
    <r>
      <rPr>
        <b/>
        <u/>
        <sz val="11"/>
        <color indexed="18"/>
        <rFont val="Arial"/>
        <family val="2"/>
        <charset val="162"/>
      </rPr>
      <t>S O L A R    C E T V E  L İ</t>
    </r>
  </si>
  <si>
    <t xml:space="preserve">                                                                                      ÜRETİLEBİLEN  GÜNLÜK  ENERJİ  (Akü çıkışı)</t>
  </si>
  <si>
    <r>
      <t xml:space="preserve">Asağıdaki kırmızı </t>
    </r>
    <r>
      <rPr>
        <b/>
        <sz val="10"/>
        <color indexed="10"/>
        <rFont val="Arial"/>
        <family val="2"/>
        <charset val="162"/>
      </rPr>
      <t>Volt</t>
    </r>
    <r>
      <rPr>
        <sz val="10"/>
        <color indexed="8"/>
        <rFont val="Arial"/>
        <family val="2"/>
        <charset val="162"/>
      </rPr>
      <t xml:space="preserve"> ve </t>
    </r>
    <r>
      <rPr>
        <b/>
        <sz val="10"/>
        <color indexed="10"/>
        <rFont val="Arial"/>
        <family val="2"/>
        <charset val="162"/>
      </rPr>
      <t>Watt</t>
    </r>
    <r>
      <rPr>
        <sz val="10"/>
        <color indexed="8"/>
        <rFont val="Arial"/>
        <family val="2"/>
        <charset val="162"/>
      </rPr>
      <t xml:space="preserve"> değerlerini, sisteminizin değerlerleriyle değiştirerek, bulunduğunuz ay ve konumda üretilen günlük </t>
    </r>
    <r>
      <rPr>
        <b/>
        <sz val="10"/>
        <color indexed="12"/>
        <rFont val="Arial"/>
        <family val="2"/>
        <charset val="162"/>
      </rPr>
      <t>akım değeri</t>
    </r>
    <r>
      <rPr>
        <sz val="10"/>
        <color indexed="8"/>
        <rFont val="Arial"/>
        <family val="2"/>
        <charset val="162"/>
      </rPr>
      <t>ni bulabilirsiniz.</t>
    </r>
  </si>
  <si>
    <t>Panel Volt</t>
  </si>
  <si>
    <t xml:space="preserve"> </t>
  </si>
  <si>
    <t>Panel Watt</t>
  </si>
  <si>
    <t xml:space="preserve">                                       </t>
  </si>
  <si>
    <t xml:space="preserve">  Watt Peak (Wp) : Günlük elde edilebilen en fazla güç.</t>
  </si>
  <si>
    <r>
      <t xml:space="preserve">AY </t>
    </r>
    <r>
      <rPr>
        <sz val="10"/>
        <color indexed="8"/>
        <rFont val="Arial"/>
        <family val="2"/>
        <charset val="162"/>
      </rPr>
      <t>/</t>
    </r>
    <r>
      <rPr>
        <sz val="10"/>
        <color indexed="12"/>
        <rFont val="Arial"/>
        <family val="2"/>
        <charset val="162"/>
      </rPr>
      <t xml:space="preserve"> </t>
    </r>
    <r>
      <rPr>
        <b/>
        <sz val="10"/>
        <color indexed="12"/>
        <rFont val="Arial"/>
        <family val="2"/>
        <charset val="162"/>
      </rPr>
      <t>KONUM</t>
    </r>
  </si>
  <si>
    <t>Antalya</t>
  </si>
  <si>
    <t>Izmir</t>
  </si>
  <si>
    <t>Istanbul</t>
  </si>
  <si>
    <t>Ankara</t>
  </si>
  <si>
    <t>Trabzon</t>
  </si>
  <si>
    <t>Watt Peak</t>
  </si>
  <si>
    <t>Amper-Saat</t>
  </si>
  <si>
    <t>Watt peak</t>
  </si>
  <si>
    <t>Ocak</t>
  </si>
  <si>
    <t>Şubat</t>
  </si>
  <si>
    <t>Mart</t>
  </si>
  <si>
    <t>Nisan</t>
  </si>
  <si>
    <t>Mayıs</t>
  </si>
  <si>
    <t>Haziran</t>
  </si>
  <si>
    <t>Temmuz</t>
  </si>
  <si>
    <t>Ağustos</t>
  </si>
  <si>
    <t>Eylül</t>
  </si>
  <si>
    <t>Ekim</t>
  </si>
  <si>
    <t>Kasım</t>
  </si>
  <si>
    <t>Aralık</t>
  </si>
  <si>
    <r>
      <t xml:space="preserve">                                                                       </t>
    </r>
    <r>
      <rPr>
        <b/>
        <sz val="10"/>
        <color indexed="12"/>
        <rFont val="Arial"/>
        <family val="2"/>
        <charset val="162"/>
      </rPr>
      <t>MİNİMUM SOLAR PANEL GÜCÜ</t>
    </r>
  </si>
  <si>
    <r>
      <t xml:space="preserve">Bulunduğunuz ay ve konuma göre </t>
    </r>
    <r>
      <rPr>
        <b/>
        <sz val="10"/>
        <color indexed="12"/>
        <rFont val="Arial"/>
        <family val="2"/>
        <charset val="162"/>
      </rPr>
      <t>minimum solar panel gücü</t>
    </r>
    <r>
      <rPr>
        <sz val="10"/>
        <color indexed="8"/>
        <rFont val="Arial"/>
        <family val="2"/>
        <charset val="162"/>
      </rPr>
      <t>nüzü hesaplamak için; günlük harcadığınız enerji A/h değerinizi asağıya yazabilirsiniz.(12 Volt)</t>
    </r>
  </si>
  <si>
    <t>Günlük harcanan Amper/h</t>
  </si>
  <si>
    <t xml:space="preserve">                  Antalya</t>
  </si>
  <si>
    <t xml:space="preserve">                  Izmir</t>
  </si>
  <si>
    <t xml:space="preserve">                Istanbul</t>
  </si>
  <si>
    <t xml:space="preserve">               Ankara</t>
  </si>
  <si>
    <t xml:space="preserve">                 Trabzon</t>
  </si>
  <si>
    <t>D I K K A T !</t>
  </si>
  <si>
    <r>
      <t xml:space="preserve">                                                                              </t>
    </r>
    <r>
      <rPr>
        <b/>
        <sz val="10"/>
        <color indexed="12"/>
        <rFont val="Arial"/>
        <family val="2"/>
        <charset val="162"/>
      </rPr>
      <t>AŞAĞIDAKİ  2.  VE  3.  TABELALARDA  DOLUDUR</t>
    </r>
  </si>
  <si>
    <t>1. Sayfanın sonu</t>
  </si>
  <si>
    <t>KARAVANDA AKIM HESAP CETVELİ</t>
  </si>
  <si>
    <t>ELEKTRİK TÜKETİCİLERİ 12 Volt</t>
  </si>
  <si>
    <t>SAYI</t>
  </si>
  <si>
    <t>GÜÇ</t>
  </si>
  <si>
    <t>AKIM</t>
  </si>
  <si>
    <t>ZAMAN</t>
  </si>
  <si>
    <t>KAPASİTE</t>
  </si>
  <si>
    <t>(n)</t>
  </si>
  <si>
    <r>
      <t xml:space="preserve">x     </t>
    </r>
    <r>
      <rPr>
        <b/>
        <sz val="10"/>
        <color indexed="12"/>
        <rFont val="Arial"/>
        <family val="2"/>
        <charset val="162"/>
      </rPr>
      <t>(W)</t>
    </r>
  </si>
  <si>
    <r>
      <t xml:space="preserve">/12V  </t>
    </r>
    <r>
      <rPr>
        <b/>
        <sz val="10"/>
        <color indexed="18"/>
        <rFont val="Arial"/>
        <family val="2"/>
        <charset val="162"/>
      </rPr>
      <t xml:space="preserve"> </t>
    </r>
    <r>
      <rPr>
        <b/>
        <sz val="10"/>
        <color indexed="12"/>
        <rFont val="Arial"/>
        <family val="2"/>
        <charset val="162"/>
      </rPr>
      <t>(A)</t>
    </r>
  </si>
  <si>
    <r>
      <t xml:space="preserve">x       </t>
    </r>
    <r>
      <rPr>
        <b/>
        <sz val="10"/>
        <color indexed="12"/>
        <rFont val="Arial"/>
        <family val="2"/>
        <charset val="162"/>
      </rPr>
      <t>(h)</t>
    </r>
  </si>
  <si>
    <t xml:space="preserve">  A/h</t>
  </si>
  <si>
    <r>
      <t>BÜTÜN</t>
    </r>
    <r>
      <rPr>
        <u/>
        <sz val="10.5"/>
        <color indexed="10"/>
        <rFont val="Arial"/>
        <family val="2"/>
        <charset val="162"/>
      </rPr>
      <t xml:space="preserve">  </t>
    </r>
    <r>
      <rPr>
        <b/>
        <u/>
        <sz val="10.5"/>
        <color indexed="10"/>
        <rFont val="Arial"/>
        <family val="2"/>
        <charset val="162"/>
      </rPr>
      <t xml:space="preserve">KIRMIZI  SAYILARI </t>
    </r>
    <r>
      <rPr>
        <sz val="10.5"/>
        <color indexed="10"/>
        <rFont val="Arial"/>
        <family val="2"/>
        <charset val="162"/>
      </rPr>
      <t xml:space="preserve"> SİSTEMİNİZE  GÖRE  DEĞIŞTİREBİLİRSİNİZ </t>
    </r>
    <r>
      <rPr>
        <b/>
        <i/>
        <sz val="10.5"/>
        <color indexed="10"/>
        <rFont val="Arial"/>
        <family val="2"/>
        <charset val="162"/>
      </rPr>
      <t xml:space="preserve"> </t>
    </r>
    <r>
      <rPr>
        <b/>
        <sz val="10.5"/>
        <color indexed="10"/>
        <rFont val="Arial"/>
        <family val="2"/>
        <charset val="162"/>
      </rPr>
      <t>!</t>
    </r>
  </si>
  <si>
    <t>AYDINLANMA</t>
  </si>
  <si>
    <t>LED Yaşam</t>
  </si>
  <si>
    <t>LED Okuma</t>
  </si>
  <si>
    <t xml:space="preserve">LED Mutfak </t>
  </si>
  <si>
    <t>LED Banyo</t>
  </si>
  <si>
    <t>LED Tente</t>
  </si>
  <si>
    <t>Spot</t>
  </si>
  <si>
    <t>Halojen lamba</t>
  </si>
  <si>
    <t>Diğer lambalar</t>
  </si>
  <si>
    <t>?</t>
  </si>
  <si>
    <t>EV ALETLERI</t>
  </si>
  <si>
    <t>Buzdolabı</t>
  </si>
  <si>
    <t>Su ısıtıcı (12Volt)</t>
  </si>
  <si>
    <t>Saç kurutma makinası</t>
  </si>
  <si>
    <t>Elektrik süpürgesi</t>
  </si>
  <si>
    <t>ALET VE EKIPMANLAR</t>
  </si>
  <si>
    <t>Isıtıcı / Kombı ısıtıcı</t>
  </si>
  <si>
    <t>Su ısıtıcısı (Boiler)</t>
  </si>
  <si>
    <t>Su pompası</t>
  </si>
  <si>
    <t>Davlumbaz / Havalandırma</t>
  </si>
  <si>
    <t>Televizyon / Reciver</t>
  </si>
  <si>
    <t>Gösterge / Su, gri su, mazot</t>
  </si>
  <si>
    <t>Laptop</t>
  </si>
  <si>
    <t>Vantilatör</t>
  </si>
  <si>
    <t>Gaz alarm cihazı</t>
  </si>
  <si>
    <t>Alarm</t>
  </si>
  <si>
    <t>Klima</t>
  </si>
  <si>
    <t>DVD</t>
  </si>
  <si>
    <t>Cep telefonu</t>
  </si>
  <si>
    <t>DIGER ALETLER</t>
  </si>
  <si>
    <t>TOPLAM ENERJI TÜKETİMİ  Ah / Gün</t>
  </si>
  <si>
    <t>YASAM AKÜ KAPASITESI</t>
  </si>
  <si>
    <r>
      <t>Günlük minimum akü kapasitesi</t>
    </r>
    <r>
      <rPr>
        <sz val="10"/>
        <color indexed="8"/>
        <rFont val="Arial"/>
        <family val="2"/>
        <charset val="162"/>
      </rPr>
      <t xml:space="preserve"> (+ 1/33)</t>
    </r>
  </si>
  <si>
    <r>
      <t>Kendi kendinize yetebileceğiniz özerk gün sayısını bulmak için,</t>
    </r>
    <r>
      <rPr>
        <b/>
        <sz val="10"/>
        <color indexed="10"/>
        <rFont val="Arial"/>
        <family val="2"/>
        <charset val="162"/>
      </rPr>
      <t xml:space="preserve"> kırmızı rakkamları</t>
    </r>
    <r>
      <rPr>
        <sz val="10"/>
        <color indexed="8"/>
        <rFont val="Arial"/>
        <family val="2"/>
        <charset val="162"/>
      </rPr>
      <t xml:space="preserve"> doldurunuz !</t>
    </r>
  </si>
  <si>
    <r>
      <t xml:space="preserve">    </t>
    </r>
    <r>
      <rPr>
        <b/>
        <sz val="10"/>
        <color indexed="12"/>
        <rFont val="Arial"/>
        <family val="2"/>
        <charset val="162"/>
      </rPr>
      <t xml:space="preserve">                     YAŞAM AKÜSÜNÜN  %</t>
    </r>
  </si>
  <si>
    <t>DOLULUĞA KADAR BOŞALMASI İÇİN GEÇEN ZAMAN</t>
  </si>
  <si>
    <t xml:space="preserve">ENERJİ KAYNAĞI 
</t>
  </si>
  <si>
    <t>KULLANIM ZAMANI     Saat (h) ; ay</t>
  </si>
  <si>
    <r>
      <t>AKIM</t>
    </r>
    <r>
      <rPr>
        <sz val="8"/>
        <rFont val="Arial"/>
        <family val="2"/>
        <charset val="162"/>
      </rPr>
      <t xml:space="preserve"> (Ah)</t>
    </r>
  </si>
  <si>
    <t xml:space="preserve">ÖZERK  GÜN  Kendi kendine  yeterli gün </t>
  </si>
  <si>
    <r>
      <t xml:space="preserve">AKÜ </t>
    </r>
    <r>
      <rPr>
        <sz val="10"/>
        <rFont val="Arial"/>
        <family val="2"/>
        <charset val="162"/>
      </rPr>
      <t>(tek başına)</t>
    </r>
  </si>
  <si>
    <r>
      <t xml:space="preserve">Akü + Jenerator Honda EU 10Ai   Verim:  </t>
    </r>
    <r>
      <rPr>
        <i/>
        <sz val="10"/>
        <rFont val="Arial"/>
        <family val="2"/>
        <charset val="162"/>
      </rPr>
      <t>8,3 Amper (-0,3A kayıp)   8Ax12V=</t>
    </r>
    <r>
      <rPr>
        <b/>
        <i/>
        <sz val="10"/>
        <rFont val="Arial"/>
        <family val="2"/>
        <charset val="162"/>
      </rPr>
      <t>96</t>
    </r>
    <r>
      <rPr>
        <i/>
        <sz val="10"/>
        <rFont val="Arial"/>
        <family val="2"/>
        <charset val="162"/>
      </rPr>
      <t>W</t>
    </r>
  </si>
  <si>
    <t>SOLAR PANELLERİN TOPLAM GÜCÜ ( Watt ) ----- &gt;</t>
  </si>
  <si>
    <t xml:space="preserve">Akü + Solar       ANTALYA </t>
  </si>
  <si>
    <r>
      <t>Akü + Solar</t>
    </r>
    <r>
      <rPr>
        <sz val="10"/>
        <color indexed="11"/>
        <rFont val="Arial"/>
        <family val="2"/>
        <charset val="162"/>
      </rPr>
      <t xml:space="preserve">  </t>
    </r>
    <r>
      <rPr>
        <sz val="10"/>
        <color indexed="13"/>
        <rFont val="Arial"/>
        <family val="2"/>
        <charset val="162"/>
      </rPr>
      <t xml:space="preserve"> </t>
    </r>
    <r>
      <rPr>
        <sz val="10"/>
        <rFont val="Arial"/>
        <family val="2"/>
        <charset val="162"/>
      </rPr>
      <t xml:space="preserve">    ANTALYA</t>
    </r>
  </si>
  <si>
    <r>
      <t>Akü + Solar</t>
    </r>
    <r>
      <rPr>
        <sz val="10"/>
        <color indexed="37"/>
        <rFont val="Arial"/>
        <family val="2"/>
        <charset val="162"/>
      </rPr>
      <t xml:space="preserve">  </t>
    </r>
    <r>
      <rPr>
        <sz val="10"/>
        <color indexed="20"/>
        <rFont val="Arial"/>
        <family val="2"/>
        <charset val="162"/>
      </rPr>
      <t xml:space="preserve">   </t>
    </r>
    <r>
      <rPr>
        <sz val="10"/>
        <rFont val="Arial"/>
        <family val="2"/>
        <charset val="162"/>
      </rPr>
      <t xml:space="preserve">  ANTALYA</t>
    </r>
  </si>
  <si>
    <r>
      <t>Akü + Solar</t>
    </r>
    <r>
      <rPr>
        <sz val="10"/>
        <color indexed="14"/>
        <rFont val="Arial"/>
        <family val="2"/>
        <charset val="162"/>
      </rPr>
      <t xml:space="preserve">      </t>
    </r>
    <r>
      <rPr>
        <sz val="10"/>
        <rFont val="Arial"/>
        <family val="2"/>
        <charset val="162"/>
      </rPr>
      <t xml:space="preserve"> İZMİR </t>
    </r>
  </si>
  <si>
    <r>
      <t>Akü + Solar</t>
    </r>
    <r>
      <rPr>
        <sz val="10"/>
        <color indexed="32"/>
        <rFont val="Arial"/>
        <family val="2"/>
        <charset val="162"/>
      </rPr>
      <t xml:space="preserve"> </t>
    </r>
    <r>
      <rPr>
        <sz val="10"/>
        <rFont val="Arial"/>
        <family val="2"/>
        <charset val="162"/>
      </rPr>
      <t xml:space="preserve">      İZMİR</t>
    </r>
  </si>
  <si>
    <r>
      <t>Akü + Solar</t>
    </r>
    <r>
      <rPr>
        <sz val="10"/>
        <color indexed="25"/>
        <rFont val="Arial"/>
        <family val="2"/>
        <charset val="162"/>
      </rPr>
      <t xml:space="preserve"> </t>
    </r>
    <r>
      <rPr>
        <sz val="10"/>
        <color indexed="37"/>
        <rFont val="Arial"/>
        <family val="2"/>
        <charset val="162"/>
      </rPr>
      <t xml:space="preserve"> </t>
    </r>
    <r>
      <rPr>
        <sz val="10"/>
        <color indexed="60"/>
        <rFont val="Arial"/>
        <family val="2"/>
        <charset val="162"/>
      </rPr>
      <t xml:space="preserve"> </t>
    </r>
    <r>
      <rPr>
        <sz val="10"/>
        <rFont val="Arial"/>
        <family val="2"/>
        <charset val="162"/>
      </rPr>
      <t xml:space="preserve">    İZMİR</t>
    </r>
  </si>
  <si>
    <t>Akü + Solar       İSTANBUL</t>
  </si>
  <si>
    <r>
      <t>Akü + Solar</t>
    </r>
    <r>
      <rPr>
        <sz val="10"/>
        <color indexed="32"/>
        <rFont val="Arial"/>
        <family val="2"/>
        <charset val="162"/>
      </rPr>
      <t xml:space="preserve"> </t>
    </r>
    <r>
      <rPr>
        <sz val="10"/>
        <rFont val="Arial"/>
        <family val="2"/>
        <charset val="162"/>
      </rPr>
      <t xml:space="preserve">      İSTANBUL</t>
    </r>
  </si>
  <si>
    <r>
      <t xml:space="preserve">Akü + Solar </t>
    </r>
    <r>
      <rPr>
        <sz val="10"/>
        <color indexed="37"/>
        <rFont val="Arial"/>
        <family val="2"/>
        <charset val="162"/>
      </rPr>
      <t xml:space="preserve"> </t>
    </r>
    <r>
      <rPr>
        <sz val="10"/>
        <rFont val="Arial"/>
        <family val="2"/>
        <charset val="162"/>
      </rPr>
      <t xml:space="preserve">     İSTANBUL</t>
    </r>
  </si>
  <si>
    <r>
      <t xml:space="preserve">Akü + Solar </t>
    </r>
    <r>
      <rPr>
        <sz val="10"/>
        <color indexed="14"/>
        <rFont val="Arial"/>
        <family val="2"/>
        <charset val="162"/>
      </rPr>
      <t xml:space="preserve">     </t>
    </r>
    <r>
      <rPr>
        <sz val="10"/>
        <rFont val="Arial"/>
        <family val="2"/>
        <charset val="162"/>
      </rPr>
      <t xml:space="preserve"> ANKARA </t>
    </r>
  </si>
  <si>
    <t>Akü + Solar       ANKARA</t>
  </si>
  <si>
    <r>
      <t xml:space="preserve">Akü + Solar </t>
    </r>
    <r>
      <rPr>
        <sz val="10"/>
        <color indexed="14"/>
        <rFont val="Arial"/>
        <family val="2"/>
        <charset val="162"/>
      </rPr>
      <t xml:space="preserve">     </t>
    </r>
    <r>
      <rPr>
        <sz val="10"/>
        <rFont val="Arial"/>
        <family val="2"/>
        <charset val="162"/>
      </rPr>
      <t xml:space="preserve"> TRABZON</t>
    </r>
  </si>
  <si>
    <r>
      <t>Akü + Solar</t>
    </r>
    <r>
      <rPr>
        <sz val="10"/>
        <color indexed="12"/>
        <rFont val="Arial"/>
        <family val="2"/>
        <charset val="162"/>
      </rPr>
      <t xml:space="preserve">  </t>
    </r>
    <r>
      <rPr>
        <sz val="10"/>
        <rFont val="Arial"/>
        <family val="2"/>
        <charset val="162"/>
      </rPr>
      <t xml:space="preserve">     TRABZON</t>
    </r>
  </si>
  <si>
    <r>
      <t>Akü + Solar</t>
    </r>
    <r>
      <rPr>
        <sz val="10"/>
        <color indexed="37"/>
        <rFont val="Arial"/>
        <family val="2"/>
        <charset val="162"/>
      </rPr>
      <t xml:space="preserve">   </t>
    </r>
    <r>
      <rPr>
        <sz val="10"/>
        <rFont val="Arial"/>
        <family val="2"/>
        <charset val="162"/>
      </rPr>
      <t xml:space="preserve">    TRABZON</t>
    </r>
  </si>
  <si>
    <r>
      <t xml:space="preserve">Yukarıdaki tabelada kullanılan </t>
    </r>
    <r>
      <rPr>
        <b/>
        <sz val="10"/>
        <color indexed="10"/>
        <rFont val="Arial"/>
        <family val="2"/>
        <charset val="162"/>
      </rPr>
      <t>sonsuz</t>
    </r>
    <r>
      <rPr>
        <sz val="10"/>
        <color indexed="10"/>
        <rFont val="Arial"/>
        <family val="2"/>
        <charset val="162"/>
      </rPr>
      <t xml:space="preserve"> </t>
    </r>
    <r>
      <rPr>
        <i/>
        <sz val="10"/>
        <rFont val="Arial"/>
        <family val="2"/>
        <charset val="162"/>
      </rPr>
      <t>koşullar devam ettikçe geçerliliği olan teorik bir deyim !</t>
    </r>
  </si>
  <si>
    <t>Temmuz ayı, yaz tatili için,</t>
  </si>
  <si>
    <t>Eylül ayı, yaz boyunca gezen emekliler ve araçlarını kışın da kısa gezilerde kullananlar için (Nisan-Eylül arasi verimi en düşük ay),</t>
  </si>
  <si>
    <t>Aralık ayı ise bütün sene gezen karavancıların yıl boyunca en az verim beklediği ay oldugundan seçildi.</t>
  </si>
  <si>
    <t>Karavan durağan halde. Alternatörden gelebilecek akım hesapta yok !</t>
  </si>
  <si>
    <t>Yasam aküsünün %50 den fazla boşaltılmaması, akü ömrü açısından tavsiye ediliyor ! Optimal %25, Maksimal %75.</t>
  </si>
  <si>
    <t>D İ K K A T !</t>
  </si>
  <si>
    <t>Bütün kırmızı rakkamlar ile</t>
  </si>
  <si>
    <t>jeneratör ve tüketici adları değişgen !</t>
  </si>
  <si>
    <t>2. Sayfanın sonu</t>
  </si>
  <si>
    <t>SOLAR VERILER NASIL BULUNDU ?</t>
  </si>
  <si>
    <t>Güvenilir bir veri kaynağı desdeği ile kayıplarda göz önüne alınarak standart panellere düşen veriler hesaplandı.</t>
  </si>
  <si>
    <t>Panelin</t>
  </si>
  <si>
    <r>
      <t xml:space="preserve">Konumu: izmir        </t>
    </r>
    <r>
      <rPr>
        <sz val="12"/>
        <rFont val="Arial"/>
        <family val="2"/>
        <charset val="162"/>
      </rPr>
      <t> (</t>
    </r>
    <r>
      <rPr>
        <i/>
        <u/>
        <sz val="12"/>
        <rFont val="Arial"/>
        <family val="2"/>
        <charset val="162"/>
      </rPr>
      <t>Antalya, Istanbul, Ankara ve Trabzon için de ayrıca hesaplandı</t>
    </r>
    <r>
      <rPr>
        <sz val="12"/>
        <rFont val="Arial"/>
        <family val="2"/>
        <charset val="162"/>
      </rPr>
      <t xml:space="preserve"> )</t>
    </r>
  </si>
  <si>
    <t>Pozisyonu: yatay, sabit  ve açıkda </t>
  </si>
  <si>
    <r>
      <t xml:space="preserve">Nominal değeri: 100 Wp </t>
    </r>
    <r>
      <rPr>
        <sz val="12"/>
        <rFont val="Arial"/>
        <family val="2"/>
        <charset val="162"/>
      </rPr>
      <t>Kristallin (Silisyum)</t>
    </r>
  </si>
  <si>
    <t>Hesaplamada kullanılan solar veri tabanı : PVGIS-CMSAF (1998-2010) </t>
  </si>
  <si>
    <t>http://re.jrc.ec.europa.eu/pvgis/apps4/pvest.php?lang=en&amp;map=europe</t>
  </si>
  <si>
    <t>Hesaplamada dikkate alınan kayıplar:</t>
  </si>
  <si>
    <r>
      <t>1) </t>
    </r>
    <r>
      <rPr>
        <b/>
        <u/>
        <sz val="14"/>
        <color indexed="18"/>
        <rFont val="Arial"/>
        <family val="2"/>
        <charset val="162"/>
      </rPr>
      <t>Veri sisteminin konuma göre otomatik olarak hesapladığı değerler:</t>
    </r>
  </si>
  <si>
    <r>
      <t>a. Lokal ısı yüzünden kayıp : %10</t>
    </r>
    <r>
      <rPr>
        <sz val="14"/>
        <rFont val="Arial"/>
        <family val="2"/>
        <charset val="162"/>
      </rPr>
      <t xml:space="preserve"> </t>
    </r>
    <r>
      <rPr>
        <sz val="12"/>
        <rFont val="Arial"/>
        <family val="2"/>
        <charset val="162"/>
      </rPr>
      <t>(istanbulda % 1,1 daha az)</t>
    </r>
  </si>
  <si>
    <t>Değer; panelin bulunduğu yerin lokal ısısına göre değişiyor, rüzgar ve sabitleme yüzeyine uzaklık  göz önüne alınmıyor. </t>
  </si>
  <si>
    <r>
      <t>b. Refleksiyon kaybı: %3.1</t>
    </r>
    <r>
      <rPr>
        <b/>
        <sz val="12"/>
        <color indexed="18"/>
        <rFont val="Arial"/>
        <family val="2"/>
        <charset val="162"/>
      </rPr>
      <t xml:space="preserve"> (</t>
    </r>
    <r>
      <rPr>
        <b/>
        <sz val="13"/>
        <color indexed="18"/>
        <rFont val="Arial"/>
        <family val="2"/>
        <charset val="162"/>
      </rPr>
      <t>istanbulda % 0,3 daha fazla</t>
    </r>
    <r>
      <rPr>
        <b/>
        <sz val="12"/>
        <color indexed="18"/>
        <rFont val="Arial"/>
        <family val="2"/>
        <charset val="162"/>
      </rPr>
      <t>)</t>
    </r>
    <r>
      <rPr>
        <sz val="12"/>
        <rFont val="Arial"/>
        <family val="2"/>
        <charset val="162"/>
      </rPr>
      <t> </t>
    </r>
    <r>
      <rPr>
        <sz val="14"/>
        <rFont val="Arial"/>
        <family val="2"/>
        <charset val="162"/>
      </rPr>
      <t> </t>
    </r>
  </si>
  <si>
    <t>Bu değer güneşin konumuna göre değişgen.  </t>
  </si>
  <si>
    <t>Panel üst yüzey yansıması; panel camının kötü kalitesi ve kirlilikle artığı gibi ışın açısı dikleşince de azalıyor. </t>
  </si>
  <si>
    <t>Havanın acık yada kapalı oluşu ve güneşlenme suresi 12 senelik istatistik verilere dahil.</t>
  </si>
  <si>
    <r>
      <t>2)</t>
    </r>
    <r>
      <rPr>
        <b/>
        <sz val="12"/>
        <color indexed="18"/>
        <rFont val="Arial"/>
        <family val="2"/>
        <charset val="162"/>
      </rPr>
      <t> </t>
    </r>
    <r>
      <rPr>
        <b/>
        <u/>
        <sz val="14"/>
        <color indexed="18"/>
        <rFont val="Arial"/>
        <family val="2"/>
        <charset val="162"/>
      </rPr>
      <t>Karavan icin varsayılan sistem kayıpları: ~ %25 (</t>
    </r>
    <r>
      <rPr>
        <b/>
        <i/>
        <u/>
        <sz val="13"/>
        <color indexed="18"/>
        <rFont val="Arial"/>
        <family val="2"/>
        <charset val="162"/>
      </rPr>
      <t>Veri tabanında kayıp hanesine yazılacak sayı !</t>
    </r>
    <r>
      <rPr>
        <b/>
        <u/>
        <sz val="14"/>
        <color indexed="18"/>
        <rFont val="Arial"/>
        <family val="2"/>
        <charset val="162"/>
      </rPr>
      <t>)</t>
    </r>
  </si>
  <si>
    <t>a. %6 akü verim kaybı.  </t>
  </si>
  <si>
    <t>Yavaş yada hızlı dolum, ayrıca akü cins ve yaşına göre değişen eksi değerler şöyle:</t>
  </si>
  <si>
    <t>Jel aküler% 4-6  </t>
  </si>
  <si>
    <t>AGM aküler % 5-12  </t>
  </si>
  <si>
    <t>Diğer kurşunlu-asitli  aküler % 15-30  arası</t>
  </si>
  <si>
    <t>Ticari deyimi ile solar akülerdede  %20 verim kaybı var.</t>
  </si>
  <si>
    <t>b. %5 (–) tolerans.  </t>
  </si>
  <si>
    <t> -%5 ile +%5  arası mümkün.</t>
  </si>
  <si>
    <t>Röper verim noktası olan,1000 güneş saatlik kullanıma kadar oluşan doğal kayıp.  </t>
  </si>
  <si>
    <t>Bazı üreticiler panel üzerine bu noktadaki gücü yazdığı gibi, diğerleri bazi çinli şirketlerinde yaptığı gibi direk fabrika çıkış gücünü yazıyor.</t>
  </si>
  <si>
    <t>c. %3 kablo kayıpları.</t>
  </si>
  <si>
    <t>Uygun kalınlıkta kablo ve bağlantı elemanları kullanımı ile %2 yada %1 e çekilebilir.</t>
  </si>
  <si>
    <t>En yüksek değer olan % 3 geçilmemeli.</t>
  </si>
  <si>
    <t>d. %6 Solar regülator kaybı.</t>
  </si>
  <si>
    <t>% 94 verimli regülatör. Regulatörlerin teknik sayfalarında yazılan verim yüzdeleri, devamli korunması mümkün olmayan, anlık maksimum değerler.</t>
  </si>
  <si>
    <r>
      <t>e. %5 Güvenlik yüzdesi. </t>
    </r>
    <r>
      <rPr>
        <b/>
        <sz val="14"/>
        <rFont val="Arial"/>
        <family val="2"/>
        <charset val="162"/>
      </rPr>
      <t> </t>
    </r>
  </si>
  <si>
    <t>Beklenmeyen gölgelenmeler vede panellerin birkaç yıl sonraki güç kaybı kompensasyonu icin düşünülen toplam yüzde. Yani  oynak bir oran.</t>
  </si>
  <si>
    <t>Kısmı gölgelenme orantısız kayıplara yol açan ve oldukça sorunlu bir olay.  </t>
  </si>
  <si>
    <t>85 wp kapasiteli ve 36 hücresinden 9 u kapalı yani sadece 1/4ü  kısmi gölgelenmiş bir panelin verimi, yazın 4,30 Amperden  dikkat 0,5 Ampere düşüyor. %25  gölge yüzünden %88 enerji kaybı !</t>
  </si>
  <si>
    <r>
      <t xml:space="preserve">Akü çıkış gücü olarak panellerden gelen akımda, </t>
    </r>
    <r>
      <rPr>
        <b/>
        <sz val="14"/>
        <color indexed="18"/>
        <rFont val="Arial"/>
        <family val="2"/>
        <charset val="162"/>
      </rPr>
      <t>ortalama</t>
    </r>
    <r>
      <rPr>
        <b/>
        <u/>
        <sz val="14"/>
        <color indexed="18"/>
        <rFont val="Arial"/>
        <family val="2"/>
        <charset val="162"/>
      </rPr>
      <t xml:space="preserve"> 1/3  üstü</t>
    </r>
    <r>
      <rPr>
        <b/>
        <sz val="14"/>
        <color indexed="18"/>
        <rFont val="Arial"/>
        <family val="2"/>
        <charset val="162"/>
      </rPr>
      <t xml:space="preserve"> kayıp</t>
    </r>
    <r>
      <rPr>
        <sz val="14"/>
        <color indexed="10"/>
        <rFont val="Arial"/>
        <family val="2"/>
        <charset val="162"/>
      </rPr>
      <t xml:space="preserve"> </t>
    </r>
    <r>
      <rPr>
        <sz val="14"/>
        <color indexed="8"/>
        <rFont val="Arial"/>
        <family val="2"/>
        <charset val="162"/>
      </rPr>
      <t>var.</t>
    </r>
  </si>
  <si>
    <t>Izmir için, yukarıdaki kriterlerle, veri sisteminden hesaplanan, aylara göre günlük ortalama değerler:</t>
  </si>
  <si>
    <t>Nisan 378 Wh</t>
  </si>
  <si>
    <t>Mayıs 464 Wh</t>
  </si>
  <si>
    <t>Haziran 512 Wh</t>
  </si>
  <si>
    <t>Temmuz 513 Wh</t>
  </si>
  <si>
    <t>Ağustos 462 Wh</t>
  </si>
  <si>
    <t>Eylül 370 Wh şeklinde.</t>
  </si>
  <si>
    <r>
      <t>Katsayı</t>
    </r>
    <r>
      <rPr>
        <b/>
        <sz val="12"/>
        <rFont val="Arial"/>
        <family val="2"/>
        <charset val="162"/>
      </rPr>
      <t xml:space="preserve"> </t>
    </r>
    <r>
      <rPr>
        <sz val="12"/>
        <rFont val="Arial"/>
        <family val="2"/>
        <charset val="162"/>
      </rPr>
      <t>hesabı:</t>
    </r>
  </si>
  <si>
    <t>Böylelikle; 15 nisan – 15 eylül yani, yaz sezonunda gezen karavancılar için baz  </t>
  </si>
  <si>
    <r>
      <t xml:space="preserve">minumum güvenlik verimi olarak (matematiksel ortalama degil !) </t>
    </r>
    <r>
      <rPr>
        <sz val="12"/>
        <color indexed="18"/>
        <rFont val="Arial"/>
        <family val="2"/>
        <charset val="162"/>
      </rPr>
      <t xml:space="preserve"> </t>
    </r>
    <r>
      <rPr>
        <b/>
        <sz val="12"/>
        <color indexed="18"/>
        <rFont val="Arial"/>
        <family val="2"/>
        <charset val="162"/>
      </rPr>
      <t>400 Wh</t>
    </r>
    <r>
      <rPr>
        <sz val="14"/>
        <rFont val="Arial"/>
        <family val="2"/>
        <charset val="162"/>
      </rPr>
      <t xml:space="preserve"> </t>
    </r>
    <r>
      <rPr>
        <sz val="12"/>
        <rFont val="Arial"/>
        <family val="2"/>
        <charset val="162"/>
      </rPr>
      <t>alınırsa.</t>
    </r>
    <r>
      <rPr>
        <sz val="14"/>
        <rFont val="Arial"/>
        <family val="2"/>
        <charset val="162"/>
      </rPr>
      <t xml:space="preserve"> </t>
    </r>
  </si>
  <si>
    <t>Katsayı:</t>
  </si>
  <si>
    <t xml:space="preserve">     400 Wh / 12V =  33,33 Ah</t>
  </si>
  <si>
    <r>
      <t>    100 / 33,33  =</t>
    </r>
    <r>
      <rPr>
        <sz val="12"/>
        <color indexed="18"/>
        <rFont val="Arial"/>
        <family val="2"/>
        <charset val="162"/>
      </rPr>
      <t> </t>
    </r>
    <r>
      <rPr>
        <b/>
        <u/>
        <sz val="14"/>
        <color indexed="18"/>
        <rFont val="Arial"/>
        <family val="2"/>
        <charset val="162"/>
      </rPr>
      <t xml:space="preserve"> </t>
    </r>
    <r>
      <rPr>
        <b/>
        <u/>
        <sz val="13"/>
        <color indexed="18"/>
        <rFont val="Arial"/>
        <family val="2"/>
        <charset val="162"/>
      </rPr>
      <t>3</t>
    </r>
    <r>
      <rPr>
        <b/>
        <sz val="14"/>
        <color indexed="18"/>
        <rFont val="Arial"/>
        <family val="2"/>
        <charset val="162"/>
      </rPr>
      <t> </t>
    </r>
    <r>
      <rPr>
        <sz val="14"/>
        <rFont val="Arial"/>
        <family val="2"/>
        <charset val="162"/>
      </rPr>
      <t xml:space="preserve"> olarak  belirleniyor.</t>
    </r>
    <r>
      <rPr>
        <sz val="12"/>
        <rFont val="Arial"/>
        <family val="2"/>
        <charset val="162"/>
      </rPr>
      <t xml:space="preserve"> (100, panelin Wp değeri)</t>
    </r>
  </si>
  <si>
    <t>Günlük sarfiyatı, akü çıkışı olarak, 50 Ah olan bir karavanda,  </t>
  </si>
  <si>
    <t>             50 x 3  = 150 Wp lik panel  tavsiye edilebilir.</t>
  </si>
  <si>
    <t>Şehir ve aylara göre tesbit edilen katsayılar, bütün hesaplamaların temelini teşkil ediyor !</t>
  </si>
  <si>
    <t>Burada hesaplanan yatay panellerin verimi, çift aksıda hareketli olanların değil.</t>
  </si>
  <si>
    <t>Panel gücü katsayısi, enerjinin tamamının solar kaynakdan kazanılması ile ilgili !</t>
  </si>
  <si>
    <t>Ayrıca panellerin, akülerin , diğer donanımların kalite ve yaşı , alternatörden faydalanma yüzdesi,  invertör kullanımı ile, otark kamp yapma hedefleri ve belkide güvenlik saplantısı dikkate alınabilecek faktörler.  </t>
  </si>
  <si>
    <t>Gercek harcama olarak geceyi, baz ve baslangıç olarakda sabahı alırsak, ortaya çıkan durum:</t>
  </si>
  <si>
    <t>Toplam harcaması 50 Ah olan bir  karavanın gündüz 25 Ah geceleri ise 25 Ah sarf ettiğini varsayalım ve geceye gündüzden tam dolu olarak girmis olsun.</t>
  </si>
  <si>
    <t>Sabaha kadar 25 Ah sarf etmis olsada kısa bir süre sonra dolum başladığından ilk başda boşalma hızı yavaşlıyacak ve belki panelin gücüne göre hemen öğleden sonra tamamen dolacaktır. Böylelikle panel verimi günlük yanlız 50 Ah bile olsa, teoride +25 Ah lik doluluğun hava durumunada bağlı olmak şartıyla devam edeceği varsayılabilir.  </t>
  </si>
  <si>
    <t>Yinede gerçek harcama yerine, teorik toplam harcamayı almak güvenlik açısından önemli.  </t>
  </si>
  <si>
    <t>Özellikle  günesin yeterli olmadigi zaman dilimleride göz önüne alinmis olur ve fark da emniyet aralığı olarak düşünülebilir</t>
  </si>
  <si>
    <t> </t>
  </si>
  <si>
    <t>Gerekli akünün akım gücünün hesaplanması ise oldukça kolay:</t>
  </si>
  <si>
    <t>Günlük sarfiyat Ah x 4 = akünün Ah değerini veriyor. </t>
  </si>
  <si>
    <t>Bu hesap, akülerin optimal çevirim sayısına ulaşmak için, tavsiye edilen % 25 den fazla bosaltılmamaları gereğine dayanıyor.  (yani ¼ ü )</t>
  </si>
  <si>
    <t>Akü kalitesine göre  değişiklikler olabileceğinden, üretici firmaların verdiği  değerlerin (?) göz önüne alınmasında fayda var.</t>
  </si>
  <si>
    <t>Yukarıdaki örnek için  50 Ah x 4 = 200 Ah uygun akü kapasitesi yada üst tavanı.</t>
  </si>
  <si>
    <t>Akü ye fazla yatırım yapmak yada fazla ağırlık taşımak istemeyenler, kullanma suresinin orantısızca düşeceği faktörünüde göz önüne alarak kapasiteyi bir noktaya kadar küçültebilirler.</t>
  </si>
  <si>
    <r>
      <t>Degişgeni bu kadar bol olan bir denklemin çözümünde, ilersini düşünerek ve benzeri uygulanan sistemleride baz alarak '</t>
    </r>
    <r>
      <rPr>
        <i/>
        <sz val="12"/>
        <rFont val="Arial"/>
        <family val="2"/>
        <charset val="162"/>
      </rPr>
      <t>learning by doing</t>
    </r>
    <r>
      <rPr>
        <sz val="12"/>
        <rFont val="Arial"/>
        <family val="2"/>
        <charset val="162"/>
      </rPr>
      <t>' oldukca rasyonal bir yaklaşım olsa bile; hicbir oryantasyon yardımı olmadan solar sistemi planlamak ise daha az akılcı olur diye , ilişikdeki çalışma yapıldı.</t>
    </r>
  </si>
  <si>
    <t>Tabelalardaki kırmızı sayıları kendi sistem verilerinizle değişdirip onayladığınız zaman diğer değerler</t>
  </si>
  <si>
    <t>otamatikman hesaplanıyor.</t>
  </si>
  <si>
    <t>Tabelaların kendi kendilerini açıkladığını sanıyorum.</t>
  </si>
  <si>
    <t>Bol eğlenceler   : )</t>
  </si>
  <si>
    <t xml:space="preserve">Işbu  tabela, tâifeyi aileden mahdum-u nadidemin el vermesi vesilesi ile, ehli kervankâra nâcizane bir hediye </t>
  </si>
  <si>
    <t>niyetine tanzim edilmiş olup, binâenaleyh müsveddelerinin dahi, maddi tasarruf üzre icrasını kattiyetle men ederüm.</t>
  </si>
  <si>
    <t xml:space="preserve">Işde bu böyle biline ! </t>
  </si>
  <si>
    <t xml:space="preserve">Alemanya kervankâri eşrafından, </t>
  </si>
  <si>
    <t>Nâm-ı maruf</t>
  </si>
  <si>
    <r>
      <t>Mütekavit seyyah</t>
    </r>
    <r>
      <rPr>
        <i/>
        <u/>
        <sz val="12"/>
        <color indexed="12"/>
        <rFont val="Comic Sans MS"/>
        <family val="4"/>
        <charset val="162"/>
      </rPr>
      <t xml:space="preserve"> 2.Evliya Çelebi</t>
    </r>
    <r>
      <rPr>
        <i/>
        <sz val="12"/>
        <color indexed="12"/>
        <rFont val="Comic Sans MS"/>
        <family val="4"/>
        <charset val="162"/>
      </rPr>
      <t xml:space="preserve"> efendi.</t>
    </r>
  </si>
  <si>
    <t>Dikkat !</t>
  </si>
  <si>
    <t>Deneme bazında hazırlananan ve mutlaklık iddası olmayan bu dosyadaki olası hatalar için sorumluluk kabul edilmez.</t>
  </si>
  <si>
    <t>Herkezin kullanımına açık olduğu halde, ticari amaçla kullanılıp yayınlanamaz.</t>
  </si>
  <si>
    <t xml:space="preserve">Copyright© </t>
  </si>
  <si>
    <t xml:space="preserve">                                                                                         </t>
  </si>
</sst>
</file>

<file path=xl/styles.xml><?xml version="1.0" encoding="utf-8"?>
<styleSheet xmlns="http://schemas.openxmlformats.org/spreadsheetml/2006/main">
  <numFmts count="1">
    <numFmt numFmtId="164" formatCode="#"/>
  </numFmts>
  <fonts count="83">
    <font>
      <sz val="10"/>
      <name val="Arial"/>
      <family val="2"/>
      <charset val="162"/>
    </font>
    <font>
      <b/>
      <sz val="12"/>
      <color indexed="12"/>
      <name val="Arial"/>
      <family val="2"/>
      <charset val="162"/>
    </font>
    <font>
      <b/>
      <sz val="11"/>
      <color indexed="12"/>
      <name val="Arial"/>
      <family val="2"/>
      <charset val="162"/>
    </font>
    <font>
      <b/>
      <sz val="11"/>
      <color indexed="13"/>
      <name val="Arial"/>
      <family val="2"/>
      <charset val="162"/>
    </font>
    <font>
      <b/>
      <u/>
      <sz val="11"/>
      <color indexed="18"/>
      <name val="Arial"/>
      <family val="2"/>
      <charset val="162"/>
    </font>
    <font>
      <b/>
      <sz val="12"/>
      <color indexed="10"/>
      <name val="Arial"/>
      <family val="2"/>
      <charset val="162"/>
    </font>
    <font>
      <sz val="12"/>
      <name val="Arial"/>
      <family val="2"/>
      <charset val="162"/>
    </font>
    <font>
      <b/>
      <sz val="10"/>
      <color indexed="12"/>
      <name val="Arial"/>
      <family val="2"/>
      <charset val="162"/>
    </font>
    <font>
      <sz val="10"/>
      <color indexed="8"/>
      <name val="Arial"/>
      <family val="2"/>
      <charset val="162"/>
    </font>
    <font>
      <b/>
      <sz val="10"/>
      <color indexed="10"/>
      <name val="Arial"/>
      <family val="2"/>
      <charset val="162"/>
    </font>
    <font>
      <i/>
      <sz val="10"/>
      <name val="Arial"/>
      <family val="2"/>
      <charset val="162"/>
    </font>
    <font>
      <b/>
      <sz val="10"/>
      <color indexed="21"/>
      <name val="Arial"/>
      <family val="2"/>
      <charset val="162"/>
    </font>
    <font>
      <sz val="10"/>
      <color indexed="12"/>
      <name val="Arial"/>
      <family val="2"/>
      <charset val="162"/>
    </font>
    <font>
      <b/>
      <sz val="10"/>
      <name val="Arial"/>
      <family val="2"/>
      <charset val="162"/>
    </font>
    <font>
      <b/>
      <i/>
      <sz val="10"/>
      <color indexed="8"/>
      <name val="Arial"/>
      <family val="2"/>
      <charset val="162"/>
    </font>
    <font>
      <b/>
      <sz val="10"/>
      <color indexed="17"/>
      <name val="Arial"/>
      <family val="2"/>
      <charset val="162"/>
    </font>
    <font>
      <b/>
      <sz val="10"/>
      <color indexed="8"/>
      <name val="Arial"/>
      <family val="2"/>
      <charset val="162"/>
    </font>
    <font>
      <b/>
      <sz val="11"/>
      <color indexed="10"/>
      <name val="Arial"/>
      <family val="2"/>
      <charset val="162"/>
    </font>
    <font>
      <b/>
      <sz val="9"/>
      <name val="Arial"/>
      <family val="2"/>
      <charset val="162"/>
    </font>
    <font>
      <b/>
      <sz val="13"/>
      <color indexed="12"/>
      <name val="Arial"/>
      <family val="2"/>
      <charset val="162"/>
    </font>
    <font>
      <b/>
      <sz val="10"/>
      <color indexed="18"/>
      <name val="Arial"/>
      <family val="2"/>
      <charset val="162"/>
    </font>
    <font>
      <sz val="10.5"/>
      <color indexed="10"/>
      <name val="Arial"/>
      <family val="2"/>
      <charset val="162"/>
    </font>
    <font>
      <u/>
      <sz val="10.5"/>
      <color indexed="10"/>
      <name val="Arial"/>
      <family val="2"/>
      <charset val="162"/>
    </font>
    <font>
      <b/>
      <u/>
      <sz val="10.5"/>
      <color indexed="10"/>
      <name val="Arial"/>
      <family val="2"/>
      <charset val="162"/>
    </font>
    <font>
      <b/>
      <i/>
      <sz val="10.5"/>
      <color indexed="10"/>
      <name val="Arial"/>
      <family val="2"/>
      <charset val="162"/>
    </font>
    <font>
      <b/>
      <sz val="10.5"/>
      <color indexed="10"/>
      <name val="Arial"/>
      <family val="2"/>
      <charset val="162"/>
    </font>
    <font>
      <sz val="10"/>
      <color indexed="10"/>
      <name val="Arial"/>
      <family val="2"/>
      <charset val="162"/>
    </font>
    <font>
      <sz val="10"/>
      <color indexed="17"/>
      <name val="Arial"/>
      <family val="2"/>
      <charset val="162"/>
    </font>
    <font>
      <b/>
      <sz val="11"/>
      <name val="Arial"/>
      <family val="2"/>
      <charset val="162"/>
    </font>
    <font>
      <b/>
      <sz val="11"/>
      <color indexed="17"/>
      <name val="Arial"/>
      <family val="2"/>
      <charset val="162"/>
    </font>
    <font>
      <sz val="11"/>
      <color indexed="12"/>
      <name val="Arial"/>
      <family val="2"/>
      <charset val="162"/>
    </font>
    <font>
      <b/>
      <sz val="8"/>
      <name val="Arial"/>
      <family val="2"/>
      <charset val="162"/>
    </font>
    <font>
      <sz val="8"/>
      <name val="Arial"/>
      <family val="2"/>
      <charset val="162"/>
    </font>
    <font>
      <b/>
      <u/>
      <sz val="9"/>
      <color indexed="12"/>
      <name val="Arial"/>
      <family val="2"/>
      <charset val="162"/>
    </font>
    <font>
      <b/>
      <sz val="10.5"/>
      <color indexed="12"/>
      <name val="Arial"/>
      <family val="2"/>
      <charset val="162"/>
    </font>
    <font>
      <b/>
      <i/>
      <sz val="10"/>
      <name val="Arial"/>
      <family val="2"/>
      <charset val="162"/>
    </font>
    <font>
      <sz val="9"/>
      <name val="Arial"/>
      <family val="2"/>
      <charset val="162"/>
    </font>
    <font>
      <b/>
      <sz val="10"/>
      <color indexed="22"/>
      <name val="Arial"/>
      <family val="2"/>
      <charset val="162"/>
    </font>
    <font>
      <i/>
      <sz val="10"/>
      <color indexed="12"/>
      <name val="Arial"/>
      <family val="2"/>
      <charset val="162"/>
    </font>
    <font>
      <sz val="10"/>
      <color indexed="11"/>
      <name val="Arial"/>
      <family val="2"/>
      <charset val="162"/>
    </font>
    <font>
      <sz val="10"/>
      <color indexed="13"/>
      <name val="Arial"/>
      <family val="2"/>
      <charset val="162"/>
    </font>
    <font>
      <sz val="10"/>
      <color indexed="37"/>
      <name val="Arial"/>
      <family val="2"/>
      <charset val="162"/>
    </font>
    <font>
      <sz val="10"/>
      <color indexed="20"/>
      <name val="Arial"/>
      <family val="2"/>
      <charset val="162"/>
    </font>
    <font>
      <sz val="10"/>
      <color indexed="14"/>
      <name val="Arial"/>
      <family val="2"/>
      <charset val="162"/>
    </font>
    <font>
      <sz val="10"/>
      <color indexed="32"/>
      <name val="Arial"/>
      <family val="2"/>
      <charset val="162"/>
    </font>
    <font>
      <sz val="10"/>
      <color indexed="25"/>
      <name val="Arial"/>
      <family val="2"/>
      <charset val="162"/>
    </font>
    <font>
      <sz val="10"/>
      <color indexed="60"/>
      <name val="Arial"/>
      <family val="2"/>
      <charset val="162"/>
    </font>
    <font>
      <i/>
      <sz val="10"/>
      <color indexed="14"/>
      <name val="Arial"/>
      <family val="2"/>
      <charset val="162"/>
    </font>
    <font>
      <sz val="10"/>
      <color indexed="16"/>
      <name val="Arial"/>
      <family val="2"/>
      <charset val="162"/>
    </font>
    <font>
      <u/>
      <sz val="10"/>
      <color indexed="12"/>
      <name val="Arial"/>
      <family val="2"/>
      <charset val="162"/>
    </font>
    <font>
      <sz val="10"/>
      <color indexed="22"/>
      <name val="Arial"/>
      <family val="2"/>
      <charset val="162"/>
    </font>
    <font>
      <b/>
      <i/>
      <sz val="10"/>
      <color indexed="18"/>
      <name val="Arial"/>
      <family val="2"/>
      <charset val="162"/>
    </font>
    <font>
      <b/>
      <i/>
      <sz val="10"/>
      <color indexed="12"/>
      <name val="Arial"/>
      <family val="2"/>
      <charset val="162"/>
    </font>
    <font>
      <b/>
      <u/>
      <sz val="14"/>
      <color indexed="12"/>
      <name val="Arial"/>
      <family val="2"/>
      <charset val="162"/>
    </font>
    <font>
      <b/>
      <u/>
      <sz val="15"/>
      <color indexed="12"/>
      <name val="Arial"/>
      <family val="2"/>
      <charset val="162"/>
    </font>
    <font>
      <i/>
      <sz val="9"/>
      <color indexed="8"/>
      <name val="Arial"/>
      <family val="2"/>
      <charset val="162"/>
    </font>
    <font>
      <sz val="9"/>
      <color indexed="8"/>
      <name val="Arial"/>
      <family val="2"/>
      <charset val="162"/>
    </font>
    <font>
      <b/>
      <sz val="12"/>
      <name val="Arial"/>
      <family val="2"/>
      <charset val="162"/>
    </font>
    <font>
      <i/>
      <u/>
      <sz val="12"/>
      <name val="Arial"/>
      <family val="2"/>
      <charset val="162"/>
    </font>
    <font>
      <sz val="14"/>
      <color indexed="12"/>
      <name val="Arial"/>
      <family val="2"/>
    </font>
    <font>
      <b/>
      <u/>
      <sz val="12"/>
      <color indexed="12"/>
      <name val="Arial"/>
      <family val="2"/>
      <charset val="162"/>
    </font>
    <font>
      <b/>
      <u/>
      <sz val="15"/>
      <color indexed="18"/>
      <name val="Arial"/>
      <family val="2"/>
      <charset val="162"/>
    </font>
    <font>
      <b/>
      <sz val="14"/>
      <color indexed="18"/>
      <name val="Arial"/>
      <family val="2"/>
      <charset val="162"/>
    </font>
    <font>
      <b/>
      <u/>
      <sz val="14"/>
      <color indexed="18"/>
      <name val="Arial"/>
      <family val="2"/>
      <charset val="162"/>
    </font>
    <font>
      <sz val="14"/>
      <name val="Arial"/>
      <family val="2"/>
      <charset val="162"/>
    </font>
    <font>
      <b/>
      <sz val="12"/>
      <color indexed="18"/>
      <name val="Arial"/>
      <family val="2"/>
      <charset val="162"/>
    </font>
    <font>
      <b/>
      <sz val="13"/>
      <color indexed="18"/>
      <name val="Arial"/>
      <family val="2"/>
      <charset val="162"/>
    </font>
    <font>
      <b/>
      <i/>
      <u/>
      <sz val="13"/>
      <color indexed="18"/>
      <name val="Arial"/>
      <family val="2"/>
      <charset val="162"/>
    </font>
    <font>
      <sz val="12"/>
      <color indexed="14"/>
      <name val="Arial"/>
      <family val="2"/>
      <charset val="162"/>
    </font>
    <font>
      <b/>
      <sz val="14"/>
      <name val="Arial"/>
      <family val="2"/>
      <charset val="162"/>
    </font>
    <font>
      <sz val="14"/>
      <color indexed="10"/>
      <name val="Arial"/>
      <family val="2"/>
      <charset val="162"/>
    </font>
    <font>
      <sz val="14"/>
      <color indexed="8"/>
      <name val="Arial"/>
      <family val="2"/>
      <charset val="162"/>
    </font>
    <font>
      <i/>
      <sz val="12"/>
      <name val="Arial"/>
      <family val="2"/>
      <charset val="162"/>
    </font>
    <font>
      <sz val="12"/>
      <color indexed="18"/>
      <name val="Arial"/>
      <family val="2"/>
      <charset val="162"/>
    </font>
    <font>
      <b/>
      <sz val="13"/>
      <color indexed="8"/>
      <name val="Arial"/>
      <family val="2"/>
      <charset val="162"/>
    </font>
    <font>
      <b/>
      <u/>
      <sz val="13"/>
      <color indexed="18"/>
      <name val="Arial"/>
      <family val="2"/>
      <charset val="162"/>
    </font>
    <font>
      <u/>
      <sz val="14"/>
      <color indexed="18"/>
      <name val="Arial"/>
      <family val="2"/>
      <charset val="162"/>
    </font>
    <font>
      <sz val="13"/>
      <color indexed="12"/>
      <name val="Arial"/>
      <family val="2"/>
      <charset val="162"/>
    </font>
    <font>
      <i/>
      <sz val="12"/>
      <color indexed="12"/>
      <name val="Arial"/>
      <family val="2"/>
      <charset val="162"/>
    </font>
    <font>
      <sz val="12"/>
      <color indexed="12"/>
      <name val="Arial"/>
      <family val="2"/>
      <charset val="162"/>
    </font>
    <font>
      <i/>
      <sz val="12"/>
      <color indexed="12"/>
      <name val="Comic Sans MS"/>
      <family val="4"/>
      <charset val="162"/>
    </font>
    <font>
      <sz val="12"/>
      <color indexed="12"/>
      <name val="Comic Sans MS"/>
      <family val="4"/>
      <charset val="162"/>
    </font>
    <font>
      <i/>
      <u/>
      <sz val="12"/>
      <color indexed="12"/>
      <name val="Comic Sans MS"/>
      <family val="4"/>
      <charset val="162"/>
    </font>
  </fonts>
  <fills count="13">
    <fill>
      <patternFill patternType="none"/>
    </fill>
    <fill>
      <patternFill patternType="gray125"/>
    </fill>
    <fill>
      <patternFill patternType="solid">
        <fgColor indexed="15"/>
        <bgColor indexed="35"/>
      </patternFill>
    </fill>
    <fill>
      <patternFill patternType="solid">
        <fgColor indexed="13"/>
        <bgColor indexed="34"/>
      </patternFill>
    </fill>
    <fill>
      <patternFill patternType="solid">
        <fgColor indexed="22"/>
        <bgColor indexed="31"/>
      </patternFill>
    </fill>
    <fill>
      <patternFill patternType="solid">
        <fgColor indexed="9"/>
        <bgColor indexed="26"/>
      </patternFill>
    </fill>
    <fill>
      <patternFill patternType="solid">
        <fgColor indexed="44"/>
        <bgColor indexed="31"/>
      </patternFill>
    </fill>
    <fill>
      <patternFill patternType="solid">
        <fgColor indexed="47"/>
        <bgColor indexed="22"/>
      </patternFill>
    </fill>
    <fill>
      <patternFill patternType="solid">
        <fgColor indexed="51"/>
        <bgColor indexed="50"/>
      </patternFill>
    </fill>
    <fill>
      <patternFill patternType="solid">
        <fgColor indexed="23"/>
        <bgColor indexed="55"/>
      </patternFill>
    </fill>
    <fill>
      <patternFill patternType="solid">
        <fgColor indexed="50"/>
        <bgColor indexed="51"/>
      </patternFill>
    </fill>
    <fill>
      <patternFill patternType="solid">
        <fgColor indexed="34"/>
        <bgColor indexed="13"/>
      </patternFill>
    </fill>
    <fill>
      <patternFill patternType="solid">
        <fgColor indexed="11"/>
        <bgColor indexed="49"/>
      </patternFill>
    </fill>
  </fills>
  <borders count="14">
    <border>
      <left/>
      <right/>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bottom style="hair">
        <color indexed="8"/>
      </bottom>
      <diagonal/>
    </border>
    <border>
      <left/>
      <right style="hair">
        <color indexed="8"/>
      </right>
      <top/>
      <bottom/>
      <diagonal/>
    </border>
    <border>
      <left/>
      <right/>
      <top style="hair">
        <color indexed="8"/>
      </top>
      <bottom/>
      <diagonal/>
    </border>
    <border>
      <left style="hair">
        <color indexed="8"/>
      </left>
      <right/>
      <top style="hair">
        <color indexed="8"/>
      </top>
      <bottom/>
      <diagonal/>
    </border>
    <border>
      <left style="hair">
        <color indexed="8"/>
      </left>
      <right style="hair">
        <color indexed="8"/>
      </right>
      <top style="hair">
        <color indexed="8"/>
      </top>
      <bottom/>
      <diagonal/>
    </border>
    <border>
      <left style="hair">
        <color indexed="8"/>
      </left>
      <right/>
      <top/>
      <bottom/>
      <diagonal/>
    </border>
    <border>
      <left style="hair">
        <color indexed="8"/>
      </left>
      <right style="hair">
        <color indexed="8"/>
      </right>
      <top/>
      <bottom/>
      <diagonal/>
    </border>
    <border>
      <left style="hair">
        <color indexed="8"/>
      </left>
      <right/>
      <top/>
      <bottom style="hair">
        <color indexed="8"/>
      </bottom>
      <diagonal/>
    </border>
    <border>
      <left style="hair">
        <color indexed="8"/>
      </left>
      <right style="hair">
        <color indexed="8"/>
      </right>
      <top/>
      <bottom style="hair">
        <color indexed="8"/>
      </bottom>
      <diagonal/>
    </border>
  </borders>
  <cellStyleXfs count="1">
    <xf numFmtId="0" fontId="0" fillId="0" borderId="0"/>
  </cellStyleXfs>
  <cellXfs count="192">
    <xf numFmtId="0" fontId="0" fillId="0" borderId="0" xfId="0"/>
    <xf numFmtId="0" fontId="0" fillId="0" borderId="0" xfId="0" applyProtection="1">
      <protection hidden="1"/>
    </xf>
    <xf numFmtId="0" fontId="1" fillId="2" borderId="0" xfId="0" applyFont="1" applyFill="1" applyAlignment="1" applyProtection="1">
      <alignment horizontal="left"/>
      <protection hidden="1"/>
    </xf>
    <xf numFmtId="0" fontId="5" fillId="2" borderId="0" xfId="0" applyFont="1" applyFill="1" applyBorder="1" applyAlignment="1" applyProtection="1">
      <alignment horizontal="left"/>
      <protection hidden="1"/>
    </xf>
    <xf numFmtId="0" fontId="6" fillId="2" borderId="0" xfId="0" applyFont="1" applyFill="1" applyAlignment="1" applyProtection="1">
      <alignment horizontal="left"/>
      <protection hidden="1"/>
    </xf>
    <xf numFmtId="0" fontId="0" fillId="0" borderId="0" xfId="0" applyFill="1" applyAlignment="1" applyProtection="1">
      <alignment horizontal="left"/>
      <protection hidden="1"/>
    </xf>
    <xf numFmtId="0" fontId="1" fillId="0" borderId="0" xfId="0" applyFont="1" applyFill="1" applyAlignment="1" applyProtection="1">
      <alignment horizontal="left"/>
      <protection hidden="1"/>
    </xf>
    <xf numFmtId="0" fontId="5" fillId="0" borderId="0" xfId="0" applyFont="1" applyFill="1" applyBorder="1" applyAlignment="1" applyProtection="1">
      <alignment horizontal="left"/>
      <protection hidden="1"/>
    </xf>
    <xf numFmtId="0" fontId="6" fillId="0" borderId="0" xfId="0" applyFont="1" applyFill="1" applyAlignment="1" applyProtection="1">
      <alignment horizontal="left"/>
      <protection hidden="1"/>
    </xf>
    <xf numFmtId="0" fontId="7" fillId="3" borderId="1" xfId="0" applyFont="1" applyFill="1" applyBorder="1" applyAlignment="1" applyProtection="1">
      <alignment horizontal="left"/>
      <protection hidden="1"/>
    </xf>
    <xf numFmtId="0" fontId="7" fillId="3" borderId="2" xfId="0" applyFont="1" applyFill="1" applyBorder="1" applyAlignment="1" applyProtection="1">
      <alignment horizontal="left"/>
      <protection hidden="1"/>
    </xf>
    <xf numFmtId="0" fontId="7" fillId="3" borderId="3" xfId="0" applyFont="1" applyFill="1" applyBorder="1" applyAlignment="1" applyProtection="1">
      <alignment horizontal="left"/>
      <protection hidden="1"/>
    </xf>
    <xf numFmtId="0" fontId="8" fillId="2" borderId="0" xfId="0" applyFont="1" applyFill="1" applyProtection="1">
      <protection hidden="1"/>
    </xf>
    <xf numFmtId="0" fontId="9" fillId="2" borderId="0" xfId="0" applyFont="1" applyFill="1" applyBorder="1" applyProtection="1">
      <protection hidden="1"/>
    </xf>
    <xf numFmtId="0" fontId="0" fillId="2" borderId="0" xfId="0" applyFill="1" applyProtection="1">
      <protection hidden="1"/>
    </xf>
    <xf numFmtId="0" fontId="0" fillId="0" borderId="0" xfId="0" applyFill="1" applyProtection="1">
      <protection hidden="1"/>
    </xf>
    <xf numFmtId="0" fontId="0" fillId="4" borderId="0" xfId="0" applyFill="1" applyProtection="1">
      <protection hidden="1"/>
    </xf>
    <xf numFmtId="0" fontId="0" fillId="5" borderId="0" xfId="0" applyFill="1" applyProtection="1">
      <protection hidden="1"/>
    </xf>
    <xf numFmtId="0" fontId="9" fillId="0" borderId="0" xfId="0" applyFont="1" applyProtection="1">
      <protection hidden="1"/>
    </xf>
    <xf numFmtId="0" fontId="9" fillId="3" borderId="4" xfId="0" applyFont="1" applyFill="1" applyBorder="1" applyAlignment="1" applyProtection="1">
      <alignment horizontal="center"/>
      <protection locked="0" hidden="1"/>
    </xf>
    <xf numFmtId="0" fontId="10" fillId="0" borderId="0" xfId="0" applyFont="1" applyProtection="1">
      <protection hidden="1"/>
    </xf>
    <xf numFmtId="0" fontId="11" fillId="0" borderId="4" xfId="0" applyFont="1" applyBorder="1" applyProtection="1">
      <protection hidden="1"/>
    </xf>
    <xf numFmtId="0" fontId="13" fillId="0" borderId="1" xfId="0" applyFont="1" applyBorder="1" applyAlignment="1" applyProtection="1">
      <alignment horizontal="right"/>
      <protection hidden="1"/>
    </xf>
    <xf numFmtId="0" fontId="14" fillId="0" borderId="4" xfId="0" applyFont="1" applyBorder="1" applyAlignment="1" applyProtection="1">
      <alignment horizontal="center"/>
      <protection hidden="1"/>
    </xf>
    <xf numFmtId="0" fontId="0" fillId="0" borderId="0" xfId="0" applyAlignment="1" applyProtection="1">
      <alignment horizontal="right"/>
      <protection hidden="1"/>
    </xf>
    <xf numFmtId="0" fontId="15" fillId="6" borderId="4" xfId="0" applyFont="1" applyFill="1" applyBorder="1" applyProtection="1">
      <protection hidden="1"/>
    </xf>
    <xf numFmtId="164" fontId="0" fillId="6" borderId="4" xfId="0" applyNumberFormat="1" applyFill="1" applyBorder="1" applyAlignment="1" applyProtection="1">
      <alignment horizontal="center"/>
      <protection hidden="1"/>
    </xf>
    <xf numFmtId="164" fontId="16" fillId="6" borderId="4" xfId="0" applyNumberFormat="1" applyFont="1" applyFill="1" applyBorder="1" applyAlignment="1" applyProtection="1">
      <alignment horizontal="center"/>
      <protection hidden="1"/>
    </xf>
    <xf numFmtId="164" fontId="13" fillId="6" borderId="4" xfId="0" applyNumberFormat="1" applyFont="1" applyFill="1" applyBorder="1" applyAlignment="1" applyProtection="1">
      <alignment horizontal="center"/>
      <protection hidden="1"/>
    </xf>
    <xf numFmtId="0" fontId="15" fillId="0" borderId="4" xfId="0" applyFont="1" applyBorder="1" applyProtection="1">
      <protection hidden="1"/>
    </xf>
    <xf numFmtId="164" fontId="0" fillId="0" borderId="4" xfId="0" applyNumberFormat="1" applyBorder="1" applyAlignment="1" applyProtection="1">
      <alignment horizontal="center"/>
      <protection hidden="1"/>
    </xf>
    <xf numFmtId="164" fontId="16" fillId="0" borderId="4" xfId="0" applyNumberFormat="1" applyFont="1" applyBorder="1" applyAlignment="1" applyProtection="1">
      <alignment horizontal="center"/>
      <protection hidden="1"/>
    </xf>
    <xf numFmtId="164" fontId="13" fillId="0" borderId="4" xfId="0" applyNumberFormat="1" applyFont="1" applyBorder="1" applyAlignment="1" applyProtection="1">
      <alignment horizontal="center"/>
      <protection hidden="1"/>
    </xf>
    <xf numFmtId="0" fontId="0" fillId="3" borderId="1" xfId="0" applyFill="1" applyBorder="1" applyProtection="1">
      <protection hidden="1"/>
    </xf>
    <xf numFmtId="0" fontId="0" fillId="3" borderId="2" xfId="0" applyFont="1" applyFill="1" applyBorder="1" applyAlignment="1" applyProtection="1">
      <alignment horizontal="left"/>
      <protection hidden="1"/>
    </xf>
    <xf numFmtId="0" fontId="0" fillId="3" borderId="3" xfId="0" applyFill="1" applyBorder="1" applyProtection="1">
      <protection hidden="1"/>
    </xf>
    <xf numFmtId="0" fontId="0" fillId="2" borderId="0" xfId="0" applyFont="1" applyFill="1" applyProtection="1">
      <protection hidden="1"/>
    </xf>
    <xf numFmtId="0" fontId="0" fillId="0" borderId="0" xfId="0" applyFont="1" applyProtection="1">
      <protection hidden="1"/>
    </xf>
    <xf numFmtId="0" fontId="0" fillId="0" borderId="0" xfId="0" applyFont="1" applyAlignment="1" applyProtection="1">
      <alignment horizontal="left"/>
      <protection hidden="1"/>
    </xf>
    <xf numFmtId="0" fontId="17" fillId="3" borderId="4" xfId="0" applyFont="1" applyFill="1" applyBorder="1" applyAlignment="1" applyProtection="1">
      <alignment horizontal="center"/>
      <protection locked="0" hidden="1"/>
    </xf>
    <xf numFmtId="0" fontId="15" fillId="7" borderId="4" xfId="0" applyFont="1" applyFill="1" applyBorder="1" applyProtection="1">
      <protection hidden="1"/>
    </xf>
    <xf numFmtId="0" fontId="13" fillId="7" borderId="4" xfId="0" applyFont="1" applyFill="1" applyBorder="1" applyAlignment="1" applyProtection="1">
      <alignment horizontal="center"/>
      <protection hidden="1"/>
    </xf>
    <xf numFmtId="164" fontId="13" fillId="7" borderId="4" xfId="0" applyNumberFormat="1" applyFont="1" applyFill="1" applyBorder="1" applyAlignment="1" applyProtection="1">
      <alignment horizontal="center"/>
      <protection hidden="1"/>
    </xf>
    <xf numFmtId="2" fontId="13" fillId="7" borderId="4" xfId="0" applyNumberFormat="1" applyFont="1" applyFill="1" applyBorder="1" applyAlignment="1" applyProtection="1">
      <alignment horizontal="center"/>
      <protection hidden="1"/>
    </xf>
    <xf numFmtId="0" fontId="13" fillId="0" borderId="4" xfId="0" applyFont="1" applyBorder="1" applyAlignment="1" applyProtection="1">
      <alignment horizontal="center"/>
      <protection hidden="1"/>
    </xf>
    <xf numFmtId="0" fontId="0" fillId="3" borderId="0" xfId="0" applyFill="1" applyProtection="1">
      <protection hidden="1"/>
    </xf>
    <xf numFmtId="0" fontId="1" fillId="3" borderId="0" xfId="0" applyFont="1" applyFill="1" applyProtection="1">
      <protection hidden="1"/>
    </xf>
    <xf numFmtId="0" fontId="0" fillId="3" borderId="0" xfId="0" applyFont="1" applyFill="1" applyAlignment="1" applyProtection="1">
      <alignment horizontal="left"/>
      <protection hidden="1"/>
    </xf>
    <xf numFmtId="0" fontId="18" fillId="3" borderId="0" xfId="0" applyFont="1" applyFill="1" applyAlignment="1" applyProtection="1">
      <alignment horizontal="left"/>
      <protection hidden="1"/>
    </xf>
    <xf numFmtId="0" fontId="0" fillId="0" borderId="0" xfId="0" applyAlignment="1" applyProtection="1">
      <alignment horizontal="left"/>
      <protection hidden="1"/>
    </xf>
    <xf numFmtId="0" fontId="7" fillId="0" borderId="0" xfId="0" applyFont="1" applyProtection="1">
      <protection hidden="1"/>
    </xf>
    <xf numFmtId="0" fontId="12" fillId="0" borderId="0" xfId="0" applyFont="1" applyProtection="1">
      <protection hidden="1"/>
    </xf>
    <xf numFmtId="0" fontId="19" fillId="2" borderId="5" xfId="0" applyFont="1" applyFill="1" applyBorder="1" applyAlignment="1" applyProtection="1">
      <alignment horizontal="center" vertical="top" wrapText="1"/>
      <protection hidden="1"/>
    </xf>
    <xf numFmtId="0" fontId="13" fillId="2" borderId="2" xfId="0" applyFont="1" applyFill="1" applyBorder="1" applyAlignment="1" applyProtection="1">
      <alignment horizontal="center" vertical="top" wrapText="1"/>
      <protection hidden="1"/>
    </xf>
    <xf numFmtId="0" fontId="13" fillId="0" borderId="2" xfId="0" applyFont="1" applyBorder="1" applyAlignment="1" applyProtection="1">
      <alignment horizontal="center" vertical="top"/>
      <protection hidden="1"/>
    </xf>
    <xf numFmtId="0" fontId="7" fillId="8" borderId="0" xfId="0" applyFont="1" applyFill="1" applyAlignment="1" applyProtection="1">
      <alignment vertical="top" wrapText="1"/>
      <protection hidden="1"/>
    </xf>
    <xf numFmtId="0" fontId="18" fillId="8" borderId="4" xfId="0" applyFont="1" applyFill="1" applyBorder="1" applyAlignment="1" applyProtection="1">
      <alignment horizontal="center" vertical="top" wrapText="1"/>
      <protection hidden="1"/>
    </xf>
    <xf numFmtId="0" fontId="13" fillId="0" borderId="0" xfId="0" applyFont="1" applyAlignment="1" applyProtection="1">
      <alignment vertical="top"/>
      <protection hidden="1"/>
    </xf>
    <xf numFmtId="0" fontId="13" fillId="0" borderId="4" xfId="0" applyFont="1" applyFill="1" applyBorder="1" applyAlignment="1" applyProtection="1">
      <alignment horizontal="center" vertical="top" wrapText="1"/>
      <protection hidden="1"/>
    </xf>
    <xf numFmtId="0" fontId="7" fillId="0" borderId="4" xfId="0" applyFont="1" applyFill="1" applyBorder="1" applyAlignment="1" applyProtection="1">
      <alignment horizontal="center" vertical="top" wrapText="1"/>
      <protection hidden="1"/>
    </xf>
    <xf numFmtId="0" fontId="13" fillId="0" borderId="4" xfId="0" applyFont="1" applyFill="1" applyBorder="1" applyAlignment="1" applyProtection="1">
      <alignment horizontal="left" vertical="top" wrapText="1"/>
      <protection hidden="1"/>
    </xf>
    <xf numFmtId="0" fontId="13" fillId="0" borderId="4" xfId="0" applyFont="1" applyFill="1" applyBorder="1" applyAlignment="1" applyProtection="1">
      <alignment horizontal="left" vertical="top"/>
      <protection hidden="1"/>
    </xf>
    <xf numFmtId="0" fontId="13" fillId="0" borderId="0" xfId="0" applyFont="1" applyFill="1" applyAlignment="1" applyProtection="1">
      <alignment vertical="top"/>
      <protection hidden="1"/>
    </xf>
    <xf numFmtId="0" fontId="26" fillId="0" borderId="0" xfId="0" applyFont="1" applyProtection="1">
      <protection hidden="1"/>
    </xf>
    <xf numFmtId="0" fontId="13" fillId="9" borderId="0" xfId="0" applyFont="1" applyFill="1" applyProtection="1">
      <protection hidden="1"/>
    </xf>
    <xf numFmtId="0" fontId="0" fillId="9" borderId="0" xfId="0" applyFill="1" applyProtection="1">
      <protection hidden="1"/>
    </xf>
    <xf numFmtId="0" fontId="0" fillId="9" borderId="0" xfId="0" applyFill="1" applyAlignment="1" applyProtection="1">
      <alignment horizontal="right"/>
      <protection hidden="1"/>
    </xf>
    <xf numFmtId="0" fontId="0" fillId="9" borderId="6" xfId="0" applyFill="1" applyBorder="1" applyProtection="1">
      <protection hidden="1"/>
    </xf>
    <xf numFmtId="0" fontId="0" fillId="4" borderId="0" xfId="0" applyFont="1" applyFill="1" applyProtection="1">
      <protection locked="0" hidden="1"/>
    </xf>
    <xf numFmtId="0" fontId="9" fillId="4" borderId="4" xfId="0" applyFont="1" applyFill="1" applyBorder="1" applyAlignment="1" applyProtection="1">
      <alignment horizontal="center"/>
      <protection locked="0" hidden="1"/>
    </xf>
    <xf numFmtId="0" fontId="0" fillId="4" borderId="4" xfId="0" applyFont="1" applyFill="1" applyBorder="1" applyAlignment="1" applyProtection="1">
      <alignment horizontal="center"/>
      <protection hidden="1"/>
    </xf>
    <xf numFmtId="0" fontId="13" fillId="4" borderId="4" xfId="0" applyFont="1" applyFill="1" applyBorder="1" applyAlignment="1" applyProtection="1">
      <alignment horizontal="center"/>
      <protection hidden="1"/>
    </xf>
    <xf numFmtId="0" fontId="0" fillId="0" borderId="0" xfId="0" applyFont="1" applyProtection="1">
      <protection locked="0" hidden="1"/>
    </xf>
    <xf numFmtId="0" fontId="9" fillId="0" borderId="4" xfId="0" applyFont="1" applyBorder="1" applyAlignment="1" applyProtection="1">
      <alignment horizontal="center"/>
      <protection locked="0" hidden="1"/>
    </xf>
    <xf numFmtId="0" fontId="0" fillId="0" borderId="4" xfId="0" applyNumberFormat="1" applyBorder="1" applyAlignment="1" applyProtection="1">
      <alignment horizontal="center"/>
      <protection hidden="1"/>
    </xf>
    <xf numFmtId="0" fontId="13" fillId="0" borderId="4" xfId="0" applyNumberFormat="1" applyFont="1" applyBorder="1" applyAlignment="1" applyProtection="1">
      <alignment horizontal="center"/>
      <protection hidden="1"/>
    </xf>
    <xf numFmtId="0" fontId="9" fillId="0" borderId="4" xfId="0" applyFont="1" applyFill="1" applyBorder="1" applyAlignment="1" applyProtection="1">
      <alignment horizontal="center"/>
      <protection locked="0" hidden="1"/>
    </xf>
    <xf numFmtId="0" fontId="9" fillId="9" borderId="0" xfId="0" applyFont="1" applyFill="1" applyProtection="1">
      <protection hidden="1"/>
    </xf>
    <xf numFmtId="0" fontId="13" fillId="9" borderId="6" xfId="0" applyFont="1" applyFill="1" applyBorder="1" applyProtection="1">
      <protection hidden="1"/>
    </xf>
    <xf numFmtId="0" fontId="0" fillId="0" borderId="0" xfId="0" applyFont="1" applyFill="1" applyProtection="1">
      <protection locked="0" hidden="1"/>
    </xf>
    <xf numFmtId="0" fontId="0" fillId="0" borderId="4" xfId="0" applyFont="1" applyFill="1" applyBorder="1" applyAlignment="1" applyProtection="1">
      <alignment horizontal="center"/>
      <protection hidden="1"/>
    </xf>
    <xf numFmtId="0" fontId="13" fillId="0" borderId="4" xfId="0" applyFont="1" applyFill="1" applyBorder="1" applyAlignment="1" applyProtection="1">
      <alignment horizontal="center"/>
      <protection hidden="1"/>
    </xf>
    <xf numFmtId="0" fontId="0" fillId="0" borderId="0" xfId="0" applyFont="1" applyFill="1" applyProtection="1">
      <protection hidden="1"/>
    </xf>
    <xf numFmtId="0" fontId="27" fillId="0" borderId="0" xfId="0" applyFont="1" applyProtection="1">
      <protection hidden="1"/>
    </xf>
    <xf numFmtId="0" fontId="0" fillId="4" borderId="4" xfId="0" applyNumberFormat="1" applyFill="1" applyBorder="1" applyAlignment="1" applyProtection="1">
      <alignment horizontal="center"/>
      <protection hidden="1"/>
    </xf>
    <xf numFmtId="0" fontId="13" fillId="4" borderId="4" xfId="0" applyNumberFormat="1" applyFont="1" applyFill="1" applyBorder="1" applyAlignment="1" applyProtection="1">
      <alignment horizontal="center"/>
      <protection hidden="1"/>
    </xf>
    <xf numFmtId="0" fontId="13" fillId="2" borderId="1" xfId="0" applyFont="1" applyFill="1" applyBorder="1" applyProtection="1">
      <protection hidden="1"/>
    </xf>
    <xf numFmtId="0" fontId="0" fillId="2" borderId="2" xfId="0" applyFont="1" applyFill="1" applyBorder="1" applyAlignment="1" applyProtection="1">
      <alignment horizontal="center"/>
      <protection hidden="1"/>
    </xf>
    <xf numFmtId="0" fontId="0" fillId="2" borderId="2" xfId="0" applyFill="1" applyBorder="1" applyAlignment="1" applyProtection="1">
      <alignment horizontal="center"/>
      <protection hidden="1"/>
    </xf>
    <xf numFmtId="0" fontId="0" fillId="2" borderId="3" xfId="0" applyFill="1" applyBorder="1" applyAlignment="1" applyProtection="1">
      <alignment horizontal="center"/>
      <protection hidden="1"/>
    </xf>
    <xf numFmtId="1" fontId="28" fillId="2" borderId="4" xfId="0" applyNumberFormat="1" applyFont="1" applyFill="1" applyBorder="1" applyAlignment="1" applyProtection="1">
      <alignment horizontal="center"/>
      <protection hidden="1"/>
    </xf>
    <xf numFmtId="0" fontId="13" fillId="10" borderId="0" xfId="0" applyFont="1" applyFill="1" applyProtection="1">
      <protection hidden="1"/>
    </xf>
    <xf numFmtId="0" fontId="0" fillId="10" borderId="0" xfId="0" applyFont="1" applyFill="1" applyAlignment="1" applyProtection="1">
      <alignment horizontal="center"/>
      <protection hidden="1"/>
    </xf>
    <xf numFmtId="0" fontId="17" fillId="11" borderId="4" xfId="0" applyFont="1" applyFill="1" applyBorder="1" applyAlignment="1" applyProtection="1">
      <alignment horizontal="center"/>
      <protection locked="0" hidden="1"/>
    </xf>
    <xf numFmtId="0" fontId="16" fillId="7" borderId="1" xfId="0" applyFont="1" applyFill="1" applyBorder="1" applyProtection="1">
      <protection hidden="1"/>
    </xf>
    <xf numFmtId="0" fontId="0" fillId="7" borderId="2" xfId="0" applyFill="1" applyBorder="1" applyAlignment="1" applyProtection="1">
      <alignment horizontal="center"/>
      <protection hidden="1"/>
    </xf>
    <xf numFmtId="0" fontId="0" fillId="7" borderId="3" xfId="0" applyFill="1" applyBorder="1" applyAlignment="1" applyProtection="1">
      <alignment horizontal="center"/>
      <protection hidden="1"/>
    </xf>
    <xf numFmtId="1" fontId="29" fillId="7" borderId="4" xfId="0" applyNumberFormat="1" applyFont="1" applyFill="1" applyBorder="1" applyAlignment="1" applyProtection="1">
      <alignment horizontal="center"/>
      <protection hidden="1"/>
    </xf>
    <xf numFmtId="0" fontId="8" fillId="0" borderId="0" xfId="0" applyFont="1" applyProtection="1">
      <protection hidden="1"/>
    </xf>
    <xf numFmtId="0" fontId="0" fillId="0" borderId="0" xfId="0" applyAlignment="1" applyProtection="1">
      <alignment horizontal="center"/>
      <protection hidden="1"/>
    </xf>
    <xf numFmtId="1" fontId="29" fillId="0" borderId="0" xfId="0" applyNumberFormat="1" applyFont="1" applyBorder="1" applyAlignment="1" applyProtection="1">
      <alignment horizontal="center"/>
      <protection hidden="1"/>
    </xf>
    <xf numFmtId="0" fontId="2" fillId="12" borderId="1" xfId="0" applyFont="1" applyFill="1" applyBorder="1" applyProtection="1">
      <protection hidden="1"/>
    </xf>
    <xf numFmtId="0" fontId="7" fillId="12" borderId="1" xfId="0" applyFont="1" applyFill="1" applyBorder="1" applyProtection="1">
      <protection hidden="1"/>
    </xf>
    <xf numFmtId="0" fontId="30" fillId="12" borderId="2" xfId="0" applyFont="1" applyFill="1" applyBorder="1" applyProtection="1">
      <protection hidden="1"/>
    </xf>
    <xf numFmtId="0" fontId="30" fillId="12" borderId="3" xfId="0" applyFont="1" applyFill="1" applyBorder="1" applyProtection="1">
      <protection hidden="1"/>
    </xf>
    <xf numFmtId="0" fontId="13" fillId="8" borderId="7" xfId="0" applyFont="1" applyFill="1" applyBorder="1" applyAlignment="1" applyProtection="1">
      <alignment horizontal="left" vertical="top" wrapText="1"/>
      <protection hidden="1"/>
    </xf>
    <xf numFmtId="0" fontId="31" fillId="8" borderId="4" xfId="0" applyFont="1" applyFill="1" applyBorder="1" applyAlignment="1" applyProtection="1">
      <alignment horizontal="center" vertical="top" wrapText="1"/>
      <protection hidden="1"/>
    </xf>
    <xf numFmtId="0" fontId="32" fillId="8" borderId="4" xfId="0" applyFont="1" applyFill="1" applyBorder="1" applyAlignment="1" applyProtection="1">
      <alignment horizontal="center" vertical="top"/>
      <protection hidden="1"/>
    </xf>
    <xf numFmtId="0" fontId="33" fillId="3" borderId="4" xfId="0" applyFont="1" applyFill="1" applyBorder="1" applyAlignment="1" applyProtection="1">
      <alignment horizontal="center" vertical="top" wrapText="1"/>
      <protection hidden="1"/>
    </xf>
    <xf numFmtId="0" fontId="32" fillId="8" borderId="0" xfId="0" applyFont="1" applyFill="1" applyAlignment="1" applyProtection="1">
      <alignment horizontal="center" vertical="top" wrapText="1"/>
      <protection hidden="1"/>
    </xf>
    <xf numFmtId="0" fontId="0" fillId="0" borderId="0" xfId="0" applyFont="1" applyAlignment="1" applyProtection="1">
      <alignment horizontal="center"/>
      <protection hidden="1"/>
    </xf>
    <xf numFmtId="0" fontId="13" fillId="0" borderId="1" xfId="0" applyFont="1" applyBorder="1" applyProtection="1">
      <protection hidden="1"/>
    </xf>
    <xf numFmtId="0" fontId="13" fillId="0" borderId="2" xfId="0" applyFont="1" applyBorder="1" applyProtection="1">
      <protection hidden="1"/>
    </xf>
    <xf numFmtId="0" fontId="0" fillId="0" borderId="3" xfId="0" applyBorder="1" applyAlignment="1" applyProtection="1">
      <alignment horizontal="center"/>
      <protection hidden="1"/>
    </xf>
    <xf numFmtId="0" fontId="34" fillId="2" borderId="4" xfId="0" applyFont="1" applyFill="1" applyBorder="1" applyAlignment="1" applyProtection="1">
      <alignment horizontal="center"/>
      <protection hidden="1"/>
    </xf>
    <xf numFmtId="0" fontId="0" fillId="0" borderId="4" xfId="0" applyFont="1" applyBorder="1" applyAlignment="1" applyProtection="1">
      <alignment wrapText="1"/>
      <protection locked="0" hidden="1"/>
    </xf>
    <xf numFmtId="0" fontId="25" fillId="0" borderId="4" xfId="0" applyFont="1" applyBorder="1" applyAlignment="1" applyProtection="1">
      <alignment horizontal="center"/>
      <protection locked="0" hidden="1"/>
    </xf>
    <xf numFmtId="0" fontId="0" fillId="0" borderId="5" xfId="0" applyNumberFormat="1" applyBorder="1" applyAlignment="1" applyProtection="1">
      <alignment horizontal="center"/>
      <protection hidden="1"/>
    </xf>
    <xf numFmtId="0" fontId="36" fillId="0" borderId="0" xfId="0" applyNumberFormat="1" applyFont="1" applyProtection="1">
      <protection hidden="1"/>
    </xf>
    <xf numFmtId="0" fontId="20" fillId="4" borderId="0" xfId="0" applyFont="1" applyFill="1" applyProtection="1">
      <protection hidden="1"/>
    </xf>
    <xf numFmtId="0" fontId="13" fillId="4" borderId="0" xfId="0" applyFont="1" applyFill="1" applyProtection="1">
      <protection hidden="1"/>
    </xf>
    <xf numFmtId="0" fontId="0" fillId="4" borderId="0" xfId="0" applyFont="1" applyFill="1" applyAlignment="1" applyProtection="1">
      <alignment horizontal="center"/>
      <protection hidden="1"/>
    </xf>
    <xf numFmtId="0" fontId="37" fillId="4" borderId="6" xfId="0" applyFont="1" applyFill="1" applyBorder="1" applyAlignment="1" applyProtection="1">
      <alignment horizontal="center"/>
      <protection hidden="1"/>
    </xf>
    <xf numFmtId="0" fontId="0" fillId="0" borderId="8" xfId="0" applyFont="1" applyBorder="1" applyProtection="1">
      <protection hidden="1"/>
    </xf>
    <xf numFmtId="0" fontId="0" fillId="0" borderId="9" xfId="0" applyFont="1" applyBorder="1" applyProtection="1">
      <protection hidden="1"/>
    </xf>
    <xf numFmtId="0" fontId="38" fillId="0" borderId="7" xfId="0" applyFont="1" applyBorder="1" applyAlignment="1" applyProtection="1">
      <alignment horizontal="center"/>
      <protection hidden="1"/>
    </xf>
    <xf numFmtId="164" fontId="0" fillId="0" borderId="9" xfId="0" applyNumberFormat="1" applyBorder="1" applyAlignment="1" applyProtection="1">
      <alignment horizontal="center"/>
      <protection hidden="1"/>
    </xf>
    <xf numFmtId="0" fontId="34" fillId="2" borderId="9" xfId="0" applyFont="1" applyFill="1" applyBorder="1" applyAlignment="1" applyProtection="1">
      <alignment horizontal="center"/>
      <protection hidden="1"/>
    </xf>
    <xf numFmtId="0" fontId="0" fillId="0" borderId="0" xfId="0" applyNumberFormat="1" applyProtection="1">
      <protection hidden="1"/>
    </xf>
    <xf numFmtId="0" fontId="0" fillId="0" borderId="10" xfId="0" applyFont="1" applyBorder="1" applyProtection="1">
      <protection hidden="1"/>
    </xf>
    <xf numFmtId="0" fontId="0" fillId="0" borderId="11" xfId="0" applyFont="1" applyBorder="1" applyProtection="1">
      <protection hidden="1"/>
    </xf>
    <xf numFmtId="0" fontId="38" fillId="0" borderId="0" xfId="0" applyFont="1" applyAlignment="1" applyProtection="1">
      <alignment horizontal="center"/>
      <protection hidden="1"/>
    </xf>
    <xf numFmtId="164" fontId="0" fillId="0" borderId="11" xfId="0" applyNumberFormat="1" applyBorder="1" applyAlignment="1" applyProtection="1">
      <alignment horizontal="center"/>
      <protection hidden="1"/>
    </xf>
    <xf numFmtId="0" fontId="34" fillId="2" borderId="11" xfId="0" applyFont="1" applyFill="1" applyBorder="1" applyAlignment="1" applyProtection="1">
      <alignment horizontal="center"/>
      <protection hidden="1"/>
    </xf>
    <xf numFmtId="0" fontId="0" fillId="0" borderId="12" xfId="0" applyFont="1" applyBorder="1" applyProtection="1">
      <protection hidden="1"/>
    </xf>
    <xf numFmtId="0" fontId="0" fillId="0" borderId="13" xfId="0" applyFont="1" applyBorder="1" applyProtection="1">
      <protection hidden="1"/>
    </xf>
    <xf numFmtId="0" fontId="38" fillId="0" borderId="5" xfId="0" applyFont="1" applyBorder="1" applyAlignment="1" applyProtection="1">
      <alignment horizontal="center"/>
      <protection hidden="1"/>
    </xf>
    <xf numFmtId="164" fontId="0" fillId="0" borderId="13" xfId="0" applyNumberFormat="1" applyBorder="1" applyAlignment="1" applyProtection="1">
      <alignment horizontal="center"/>
      <protection hidden="1"/>
    </xf>
    <xf numFmtId="0" fontId="34" fillId="2" borderId="13" xfId="0" applyFont="1" applyFill="1" applyBorder="1" applyAlignment="1" applyProtection="1">
      <alignment horizontal="center"/>
      <protection hidden="1"/>
    </xf>
    <xf numFmtId="0" fontId="0" fillId="7" borderId="0" xfId="0" applyFont="1" applyFill="1" applyProtection="1">
      <protection hidden="1"/>
    </xf>
    <xf numFmtId="0" fontId="0" fillId="7" borderId="11" xfId="0" applyFont="1" applyFill="1" applyBorder="1" applyProtection="1">
      <protection hidden="1"/>
    </xf>
    <xf numFmtId="0" fontId="38" fillId="7" borderId="0" xfId="0" applyFont="1" applyFill="1" applyAlignment="1" applyProtection="1">
      <alignment horizontal="center"/>
      <protection hidden="1"/>
    </xf>
    <xf numFmtId="164" fontId="0" fillId="7" borderId="11" xfId="0" applyNumberFormat="1" applyFill="1" applyBorder="1" applyAlignment="1" applyProtection="1">
      <alignment horizontal="center"/>
      <protection hidden="1"/>
    </xf>
    <xf numFmtId="0" fontId="47" fillId="0" borderId="0" xfId="0" applyFont="1" applyProtection="1">
      <protection hidden="1"/>
    </xf>
    <xf numFmtId="0" fontId="34" fillId="0" borderId="0" xfId="0" applyFont="1" applyFill="1" applyAlignment="1" applyProtection="1">
      <alignment horizontal="center"/>
      <protection hidden="1"/>
    </xf>
    <xf numFmtId="0" fontId="12" fillId="4" borderId="0" xfId="0" applyFont="1" applyFill="1" applyProtection="1">
      <protection hidden="1"/>
    </xf>
    <xf numFmtId="0" fontId="38" fillId="4" borderId="0" xfId="0" applyFont="1" applyFill="1" applyProtection="1">
      <protection hidden="1"/>
    </xf>
    <xf numFmtId="0" fontId="12" fillId="4" borderId="0" xfId="0" applyNumberFormat="1" applyFont="1" applyFill="1" applyProtection="1">
      <protection hidden="1"/>
    </xf>
    <xf numFmtId="0" fontId="34" fillId="4" borderId="0" xfId="0" applyFont="1" applyFill="1" applyAlignment="1" applyProtection="1">
      <alignment horizontal="center"/>
      <protection hidden="1"/>
    </xf>
    <xf numFmtId="0" fontId="48" fillId="4" borderId="0" xfId="0" applyFont="1" applyFill="1" applyBorder="1" applyAlignment="1" applyProtection="1">
      <alignment vertical="top" wrapText="1"/>
      <protection hidden="1"/>
    </xf>
    <xf numFmtId="0" fontId="49" fillId="4" borderId="0" xfId="0" applyFont="1" applyFill="1" applyProtection="1">
      <protection hidden="1"/>
    </xf>
    <xf numFmtId="0" fontId="20" fillId="3" borderId="0" xfId="0" applyFont="1" applyFill="1" applyProtection="1">
      <protection hidden="1"/>
    </xf>
    <xf numFmtId="0" fontId="50" fillId="0" borderId="0" xfId="0" applyFont="1" applyFill="1" applyBorder="1" applyAlignment="1" applyProtection="1">
      <alignment vertical="top" wrapText="1"/>
      <protection hidden="1"/>
    </xf>
    <xf numFmtId="0" fontId="50" fillId="0" borderId="0" xfId="0" applyFont="1" applyFill="1" applyProtection="1">
      <protection hidden="1"/>
    </xf>
    <xf numFmtId="0" fontId="51" fillId="3" borderId="0" xfId="0" applyFont="1" applyFill="1" applyBorder="1" applyAlignment="1" applyProtection="1">
      <alignment vertical="top" wrapText="1"/>
      <protection hidden="1"/>
    </xf>
    <xf numFmtId="0" fontId="52" fillId="0" borderId="0" xfId="0" applyFont="1" applyFill="1" applyBorder="1" applyAlignment="1" applyProtection="1">
      <alignment vertical="top" wrapText="1"/>
      <protection hidden="1"/>
    </xf>
    <xf numFmtId="0" fontId="48" fillId="0" borderId="0" xfId="0" applyFont="1" applyFill="1" applyBorder="1" applyAlignment="1" applyProtection="1">
      <alignment vertical="top" wrapText="1"/>
      <protection hidden="1"/>
    </xf>
    <xf numFmtId="0" fontId="6" fillId="4" borderId="0" xfId="0" applyFont="1" applyFill="1" applyProtection="1">
      <protection hidden="1"/>
    </xf>
    <xf numFmtId="0" fontId="6" fillId="0" borderId="0" xfId="0" applyFont="1" applyProtection="1">
      <protection hidden="1"/>
    </xf>
    <xf numFmtId="0" fontId="53" fillId="4" borderId="0" xfId="0" applyFont="1" applyFill="1" applyAlignment="1" applyProtection="1">
      <alignment horizontal="center" wrapText="1"/>
      <protection hidden="1"/>
    </xf>
    <xf numFmtId="0" fontId="54" fillId="4" borderId="0" xfId="0" applyFont="1" applyFill="1" applyAlignment="1" applyProtection="1">
      <alignment horizontal="center" wrapText="1"/>
      <protection hidden="1"/>
    </xf>
    <xf numFmtId="0" fontId="55" fillId="4" borderId="0" xfId="0" applyFont="1" applyFill="1" applyAlignment="1" applyProtection="1">
      <alignment horizontal="center" wrapText="1"/>
      <protection hidden="1"/>
    </xf>
    <xf numFmtId="0" fontId="6" fillId="0" borderId="0" xfId="0" applyFont="1" applyAlignment="1" applyProtection="1">
      <alignment horizontal="center"/>
      <protection hidden="1"/>
    </xf>
    <xf numFmtId="0" fontId="56" fillId="4" borderId="0" xfId="0" applyFont="1" applyFill="1" applyAlignment="1" applyProtection="1">
      <alignment horizontal="center" wrapText="1"/>
      <protection hidden="1"/>
    </xf>
    <xf numFmtId="0" fontId="6" fillId="4" borderId="0" xfId="0" applyFont="1" applyFill="1" applyAlignment="1" applyProtection="1">
      <alignment wrapText="1"/>
      <protection hidden="1"/>
    </xf>
    <xf numFmtId="0" fontId="57" fillId="4" borderId="0" xfId="0" applyFont="1" applyFill="1" applyAlignment="1" applyProtection="1">
      <alignment wrapText="1"/>
      <protection hidden="1"/>
    </xf>
    <xf numFmtId="0" fontId="59" fillId="4" borderId="0" xfId="0" applyFont="1" applyFill="1" applyAlignment="1" applyProtection="1">
      <alignment wrapText="1"/>
      <protection hidden="1"/>
    </xf>
    <xf numFmtId="0" fontId="60" fillId="4" borderId="0" xfId="0" applyFont="1" applyFill="1" applyAlignment="1" applyProtection="1">
      <alignment wrapText="1"/>
      <protection hidden="1"/>
    </xf>
    <xf numFmtId="0" fontId="61" fillId="4" borderId="0" xfId="0" applyFont="1" applyFill="1" applyAlignment="1" applyProtection="1">
      <alignment horizontal="center" wrapText="1"/>
      <protection hidden="1"/>
    </xf>
    <xf numFmtId="0" fontId="61" fillId="0" borderId="0" xfId="0" applyFont="1" applyProtection="1">
      <protection hidden="1"/>
    </xf>
    <xf numFmtId="0" fontId="62" fillId="4" borderId="0" xfId="0" applyFont="1" applyFill="1" applyAlignment="1" applyProtection="1">
      <alignment wrapText="1"/>
      <protection hidden="1"/>
    </xf>
    <xf numFmtId="0" fontId="68" fillId="0" borderId="0" xfId="0" applyFont="1" applyProtection="1">
      <protection hidden="1"/>
    </xf>
    <xf numFmtId="0" fontId="72" fillId="4" borderId="0" xfId="0" applyFont="1" applyFill="1" applyAlignment="1" applyProtection="1">
      <alignment wrapText="1"/>
      <protection hidden="1"/>
    </xf>
    <xf numFmtId="0" fontId="72" fillId="0" borderId="0" xfId="0" applyFont="1" applyProtection="1">
      <protection hidden="1"/>
    </xf>
    <xf numFmtId="0" fontId="74" fillId="4" borderId="0" xfId="0" applyFont="1" applyFill="1" applyProtection="1">
      <protection hidden="1"/>
    </xf>
    <xf numFmtId="0" fontId="76" fillId="4" borderId="0" xfId="0" applyFont="1" applyFill="1" applyAlignment="1" applyProtection="1">
      <alignment wrapText="1"/>
      <protection hidden="1"/>
    </xf>
    <xf numFmtId="0" fontId="77" fillId="0" borderId="0" xfId="0" applyFont="1" applyFill="1" applyProtection="1">
      <protection hidden="1"/>
    </xf>
    <xf numFmtId="0" fontId="5" fillId="4" borderId="0" xfId="0" applyFont="1" applyFill="1" applyAlignment="1" applyProtection="1">
      <alignment wrapText="1"/>
      <protection hidden="1"/>
    </xf>
    <xf numFmtId="0" fontId="78" fillId="4" borderId="0" xfId="0" applyFont="1" applyFill="1" applyProtection="1">
      <protection hidden="1"/>
    </xf>
    <xf numFmtId="0" fontId="79" fillId="0" borderId="0" xfId="0" applyFont="1" applyProtection="1">
      <protection hidden="1"/>
    </xf>
    <xf numFmtId="0" fontId="80" fillId="4" borderId="7" xfId="0" applyFont="1" applyFill="1" applyBorder="1" applyProtection="1">
      <protection hidden="1"/>
    </xf>
    <xf numFmtId="0" fontId="81" fillId="0" borderId="0" xfId="0" applyFont="1" applyFill="1" applyProtection="1">
      <protection hidden="1"/>
    </xf>
    <xf numFmtId="0" fontId="81" fillId="0" borderId="0" xfId="0" applyFont="1" applyProtection="1">
      <protection hidden="1"/>
    </xf>
    <xf numFmtId="0" fontId="80" fillId="4" borderId="0" xfId="0" applyFont="1" applyFill="1" applyBorder="1" applyProtection="1">
      <protection hidden="1"/>
    </xf>
    <xf numFmtId="0" fontId="1" fillId="3" borderId="9" xfId="0" applyFont="1" applyFill="1" applyBorder="1" applyProtection="1">
      <protection hidden="1"/>
    </xf>
    <xf numFmtId="0" fontId="1" fillId="0" borderId="0" xfId="0" applyFont="1" applyFill="1" applyProtection="1">
      <protection hidden="1"/>
    </xf>
    <xf numFmtId="0" fontId="79" fillId="3" borderId="11" xfId="0" applyFont="1" applyFill="1" applyBorder="1" applyProtection="1">
      <protection hidden="1"/>
    </xf>
    <xf numFmtId="0" fontId="79" fillId="0" borderId="0" xfId="0" applyFont="1" applyFill="1" applyProtection="1">
      <protection hidden="1"/>
    </xf>
    <xf numFmtId="0" fontId="79" fillId="3" borderId="13" xfId="0" applyFont="1" applyFill="1" applyBorder="1" applyProtection="1">
      <protection hidden="1"/>
    </xf>
    <xf numFmtId="0" fontId="13" fillId="0" borderId="4" xfId="0" applyFont="1" applyBorder="1" applyAlignment="1" applyProtection="1">
      <alignment wrapText="1"/>
      <protection hidden="1"/>
    </xf>
    <xf numFmtId="0" fontId="7" fillId="0" borderId="4" xfId="0" applyFont="1" applyBorder="1" applyAlignment="1" applyProtection="1">
      <alignment horizontal="center" vertical="center"/>
      <protection hidden="1"/>
    </xf>
    <xf numFmtId="0" fontId="21" fillId="12" borderId="6" xfId="0" applyFont="1" applyFill="1" applyBorder="1" applyAlignment="1" applyProtection="1">
      <alignment horizontal="center" vertical="top" wrapText="1"/>
      <protection hidden="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DC2300"/>
      <rgbColor rgb="00FFFFCC"/>
      <rgbColor rgb="00CCFFFF"/>
      <rgbColor rgb="00660066"/>
      <rgbColor rgb="00FF8080"/>
      <rgbColor rgb="000066CC"/>
      <rgbColor rgb="00CCCCFF"/>
      <rgbColor rgb="00280099"/>
      <rgbColor rgb="00FF00FF"/>
      <rgbColor rgb="00E6FF00"/>
      <rgbColor rgb="0000FFFF"/>
      <rgbColor rgb="00800080"/>
      <rgbColor rgb="007E0021"/>
      <rgbColor rgb="00008080"/>
      <rgbColor rgb="000000FF"/>
      <rgbColor rgb="0000CCFF"/>
      <rgbColor rgb="00CCFFFF"/>
      <rgbColor rgb="00CCFFCC"/>
      <rgbColor rgb="00FFFF99"/>
      <rgbColor rgb="0099CCFF"/>
      <rgbColor rgb="00FF99CC"/>
      <rgbColor rgb="00CC99FF"/>
      <rgbColor rgb="00FFCC99"/>
      <rgbColor rgb="003366FF"/>
      <rgbColor rgb="0033CCCC"/>
      <rgbColor rgb="00CCCC00"/>
      <rgbColor rgb="00FFD320"/>
      <rgbColor rgb="00FF9900"/>
      <rgbColor rgb="00FF6600"/>
      <rgbColor rgb="00666699"/>
      <rgbColor rgb="00969696"/>
      <rgbColor rgb="00003366"/>
      <rgbColor rgb="00339966"/>
      <rgbColor rgb="00003300"/>
      <rgbColor rgb="00333300"/>
      <rgbColor rgb="00B847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0</xdr:colOff>
      <xdr:row>43</xdr:row>
      <xdr:rowOff>9525</xdr:rowOff>
    </xdr:from>
    <xdr:to>
      <xdr:col>5</xdr:col>
      <xdr:colOff>781050</xdr:colOff>
      <xdr:row>44</xdr:row>
      <xdr:rowOff>257175</xdr:rowOff>
    </xdr:to>
    <xdr:pic>
      <xdr:nvPicPr>
        <xdr:cNvPr id="2049" name="Grafik 2"/>
        <xdr:cNvPicPr>
          <a:picLocks noChangeAspect="1" noChangeArrowheads="1"/>
        </xdr:cNvPicPr>
      </xdr:nvPicPr>
      <xdr:blipFill>
        <a:blip xmlns:r="http://schemas.openxmlformats.org/officeDocument/2006/relationships" r:embed="rId1" cstate="print"/>
        <a:srcRect/>
        <a:stretch>
          <a:fillRect/>
        </a:stretch>
      </xdr:blipFill>
      <xdr:spPr bwMode="auto">
        <a:xfrm>
          <a:off x="5581650" y="8353425"/>
          <a:ext cx="781050" cy="695325"/>
        </a:xfrm>
        <a:prstGeom prst="rect">
          <a:avLst/>
        </a:prstGeom>
        <a:noFill/>
        <a:ln w="9525">
          <a:noFill/>
          <a:round/>
          <a:headEnd/>
          <a:tailEnd/>
        </a:ln>
        <a:effectLst/>
      </xdr:spPr>
    </xdr:pic>
    <xdr:clientData/>
  </xdr:twoCellAnchor>
  <xdr:twoCellAnchor>
    <xdr:from>
      <xdr:col>0</xdr:col>
      <xdr:colOff>0</xdr:colOff>
      <xdr:row>73</xdr:row>
      <xdr:rowOff>19050</xdr:rowOff>
    </xdr:from>
    <xdr:to>
      <xdr:col>6</xdr:col>
      <xdr:colOff>723900</xdr:colOff>
      <xdr:row>99</xdr:row>
      <xdr:rowOff>133350</xdr:rowOff>
    </xdr:to>
    <xdr:pic>
      <xdr:nvPicPr>
        <xdr:cNvPr id="2050" name="Grafik 1"/>
        <xdr:cNvPicPr>
          <a:picLocks noChangeAspect="1" noChangeArrowheads="1"/>
        </xdr:cNvPicPr>
      </xdr:nvPicPr>
      <xdr:blipFill>
        <a:blip xmlns:r="http://schemas.openxmlformats.org/officeDocument/2006/relationships" r:embed="rId2" cstate="print"/>
        <a:srcRect/>
        <a:stretch>
          <a:fillRect/>
        </a:stretch>
      </xdr:blipFill>
      <xdr:spPr bwMode="auto">
        <a:xfrm>
          <a:off x="0" y="14173200"/>
          <a:ext cx="7096125" cy="4276725"/>
        </a:xfrm>
        <a:prstGeom prst="rect">
          <a:avLst/>
        </a:prstGeom>
        <a:noFill/>
        <a:ln w="9525">
          <a:noFill/>
          <a:round/>
          <a:headEnd/>
          <a:tailEnd/>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hyperlink" Target="http://re.jrc.ec.europa.eu/pvgis/apps4/pvest.php?lang=en&amp;map=europe" TargetMode="External"/></Relationships>
</file>

<file path=xl/worksheets/sheet1.xml><?xml version="1.0" encoding="utf-8"?>
<worksheet xmlns="http://schemas.openxmlformats.org/spreadsheetml/2006/main" xmlns:r="http://schemas.openxmlformats.org/officeDocument/2006/relationships">
  <dimension ref="A1:IV44"/>
  <sheetViews>
    <sheetView tabSelected="1" workbookViewId="0">
      <selection activeCell="C10" sqref="C10"/>
    </sheetView>
  </sheetViews>
  <sheetFormatPr defaultColWidth="11.5703125" defaultRowHeight="12.75"/>
  <cols>
    <col min="1" max="1" width="12.42578125" style="1" customWidth="1"/>
    <col min="2" max="2" width="12.140625" style="1" customWidth="1"/>
    <col min="3" max="8" width="11.5703125" style="1" customWidth="1"/>
    <col min="9" max="10" width="12.28515625" style="1" customWidth="1"/>
    <col min="11" max="11" width="12.5703125" style="1" customWidth="1"/>
    <col min="12" max="16384" width="11.5703125" style="1"/>
  </cols>
  <sheetData>
    <row r="1" spans="1:256" s="5" customFormat="1" ht="23.85" customHeight="1">
      <c r="A1" s="2" t="s">
        <v>0</v>
      </c>
      <c r="B1" s="3"/>
      <c r="C1" s="4"/>
      <c r="D1" s="4"/>
      <c r="E1" s="4"/>
      <c r="F1" s="4"/>
      <c r="G1" s="4"/>
      <c r="H1" s="4"/>
      <c r="I1" s="4"/>
      <c r="J1" s="4"/>
      <c r="K1" s="4"/>
    </row>
    <row r="2" spans="1:256" s="5" customFormat="1" ht="23.85" customHeight="1">
      <c r="A2" s="6"/>
      <c r="B2" s="7"/>
      <c r="C2" s="8"/>
      <c r="D2" s="8"/>
      <c r="E2" s="8"/>
      <c r="F2" s="8"/>
      <c r="G2" s="8"/>
      <c r="H2" s="8"/>
      <c r="I2" s="8"/>
      <c r="J2" s="8"/>
      <c r="K2" s="8"/>
    </row>
    <row r="3" spans="1:256" s="5" customFormat="1" ht="20.100000000000001" customHeight="1">
      <c r="A3" s="9" t="s">
        <v>1</v>
      </c>
      <c r="B3" s="10"/>
      <c r="C3" s="10"/>
      <c r="D3" s="10"/>
      <c r="E3" s="10"/>
      <c r="F3" s="10"/>
      <c r="G3" s="10"/>
      <c r="H3" s="10"/>
      <c r="I3" s="10"/>
      <c r="J3" s="10"/>
      <c r="K3" s="11"/>
    </row>
    <row r="4" spans="1:256" s="16" customFormat="1">
      <c r="A4" s="12" t="s">
        <v>2</v>
      </c>
      <c r="B4" s="13"/>
      <c r="C4" s="14"/>
      <c r="D4" s="14"/>
      <c r="E4" s="14"/>
      <c r="F4" s="14"/>
      <c r="G4" s="14"/>
      <c r="H4" s="14"/>
      <c r="I4" s="14"/>
      <c r="J4" s="14"/>
      <c r="K4" s="14"/>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GA4" s="17"/>
      <c r="GB4" s="17"/>
      <c r="GC4" s="17"/>
      <c r="GD4" s="17"/>
      <c r="GE4" s="17"/>
      <c r="GF4" s="17"/>
      <c r="GG4" s="17"/>
      <c r="GH4" s="17"/>
      <c r="GI4" s="17"/>
      <c r="GJ4" s="17"/>
      <c r="GK4" s="17"/>
      <c r="GL4" s="17"/>
      <c r="GM4" s="17"/>
      <c r="GN4" s="17"/>
      <c r="GO4" s="17"/>
      <c r="GP4" s="17"/>
      <c r="GQ4" s="17"/>
      <c r="GR4" s="17"/>
      <c r="GS4" s="17"/>
      <c r="GT4" s="17"/>
      <c r="GU4" s="17"/>
      <c r="GV4" s="17"/>
      <c r="GW4" s="17"/>
      <c r="GX4" s="17"/>
      <c r="GY4" s="17"/>
      <c r="GZ4" s="17"/>
      <c r="HA4" s="17"/>
      <c r="HB4" s="17"/>
      <c r="HC4" s="17"/>
      <c r="HD4" s="17"/>
      <c r="HE4" s="17"/>
      <c r="HF4" s="17"/>
      <c r="HG4" s="17"/>
      <c r="HH4" s="17"/>
      <c r="HI4" s="17"/>
      <c r="HJ4" s="17"/>
      <c r="HK4" s="17"/>
      <c r="HL4" s="17"/>
      <c r="HM4" s="17"/>
      <c r="HN4" s="17"/>
      <c r="HO4" s="17"/>
      <c r="HP4" s="17"/>
      <c r="HQ4" s="17"/>
      <c r="HR4" s="17"/>
      <c r="HS4" s="17"/>
      <c r="HT4" s="17"/>
      <c r="HU4" s="17"/>
      <c r="HV4" s="17"/>
      <c r="HW4" s="17"/>
      <c r="HX4" s="17"/>
      <c r="HY4" s="17"/>
      <c r="HZ4" s="17"/>
      <c r="IA4" s="17"/>
      <c r="IB4" s="17"/>
      <c r="IC4" s="17"/>
      <c r="ID4" s="17"/>
      <c r="IE4" s="17"/>
      <c r="IF4" s="17"/>
      <c r="IG4" s="17"/>
      <c r="IH4" s="17"/>
      <c r="II4" s="17"/>
      <c r="IJ4" s="17"/>
      <c r="IK4" s="17"/>
      <c r="IL4" s="17"/>
      <c r="IM4" s="17"/>
      <c r="IN4" s="17"/>
      <c r="IO4" s="17"/>
      <c r="IP4" s="17"/>
      <c r="IQ4" s="17"/>
      <c r="IR4" s="17"/>
      <c r="IS4" s="17"/>
      <c r="IT4" s="17"/>
      <c r="IU4" s="17"/>
      <c r="IV4" s="17"/>
    </row>
    <row r="5" spans="1:256" ht="16.350000000000001" customHeight="1">
      <c r="A5" s="18" t="s">
        <v>3</v>
      </c>
      <c r="B5" s="19">
        <v>12</v>
      </c>
      <c r="D5" s="1" t="s">
        <v>4</v>
      </c>
      <c r="I5" s="15"/>
    </row>
    <row r="6" spans="1:256" ht="15.6" customHeight="1">
      <c r="A6" s="18" t="s">
        <v>5</v>
      </c>
      <c r="B6" s="19">
        <v>90</v>
      </c>
      <c r="F6" s="1" t="s">
        <v>6</v>
      </c>
      <c r="H6" s="20" t="s">
        <v>7</v>
      </c>
    </row>
    <row r="8" spans="1:256">
      <c r="A8" s="21" t="s">
        <v>8</v>
      </c>
      <c r="B8" s="190" t="s">
        <v>9</v>
      </c>
      <c r="C8" s="190"/>
      <c r="D8" s="190" t="s">
        <v>10</v>
      </c>
      <c r="E8" s="190"/>
      <c r="F8" s="190" t="s">
        <v>11</v>
      </c>
      <c r="G8" s="190"/>
      <c r="H8" s="190" t="s">
        <v>12</v>
      </c>
      <c r="I8" s="190"/>
      <c r="J8" s="190" t="s">
        <v>13</v>
      </c>
      <c r="K8" s="190"/>
    </row>
    <row r="9" spans="1:256" s="24" customFormat="1">
      <c r="A9" s="22"/>
      <c r="B9" s="23" t="s">
        <v>14</v>
      </c>
      <c r="C9" s="23" t="s">
        <v>15</v>
      </c>
      <c r="D9" s="23" t="s">
        <v>14</v>
      </c>
      <c r="E9" s="23" t="s">
        <v>15</v>
      </c>
      <c r="F9" s="23" t="s">
        <v>14</v>
      </c>
      <c r="G9" s="23" t="s">
        <v>15</v>
      </c>
      <c r="H9" s="23" t="s">
        <v>14</v>
      </c>
      <c r="I9" s="23" t="s">
        <v>15</v>
      </c>
      <c r="J9" s="23" t="s">
        <v>16</v>
      </c>
      <c r="K9" s="23" t="s">
        <v>15</v>
      </c>
    </row>
    <row r="10" spans="1:256">
      <c r="A10" s="25" t="s">
        <v>17</v>
      </c>
      <c r="B10" s="26">
        <f>B6*1.63</f>
        <v>146.69999999999999</v>
      </c>
      <c r="C10" s="27">
        <f t="shared" ref="C10:C21" si="0">B10/$B$5</f>
        <v>12.225</v>
      </c>
      <c r="D10" s="26">
        <f>B6*1.55</f>
        <v>139.5</v>
      </c>
      <c r="E10" s="27">
        <f t="shared" ref="E10:E21" si="1">D10/$B$5</f>
        <v>11.625</v>
      </c>
      <c r="F10" s="26">
        <f>B6*1.06</f>
        <v>95.4</v>
      </c>
      <c r="G10" s="28">
        <f t="shared" ref="G10:G21" si="2">F10/$B$5</f>
        <v>7.95</v>
      </c>
      <c r="H10" s="26">
        <f>B6*1.25</f>
        <v>112.5</v>
      </c>
      <c r="I10" s="28">
        <f t="shared" ref="I10:I21" si="3">H10/$B$5</f>
        <v>9.375</v>
      </c>
      <c r="J10" s="26">
        <f>B6*1.11</f>
        <v>99.9</v>
      </c>
      <c r="K10" s="28">
        <f t="shared" ref="K10:K21" si="4">J10/$B$5</f>
        <v>8.3250000000000011</v>
      </c>
      <c r="L10" s="15"/>
    </row>
    <row r="11" spans="1:256">
      <c r="A11" s="29" t="s">
        <v>18</v>
      </c>
      <c r="B11" s="30">
        <f>B6*2.12</f>
        <v>190.8</v>
      </c>
      <c r="C11" s="31">
        <f t="shared" si="0"/>
        <v>15.9</v>
      </c>
      <c r="D11" s="30">
        <f>B6*1.96</f>
        <v>176.4</v>
      </c>
      <c r="E11" s="31">
        <f t="shared" si="1"/>
        <v>14.700000000000001</v>
      </c>
      <c r="F11" s="30">
        <f>B6*1.49</f>
        <v>134.1</v>
      </c>
      <c r="G11" s="32">
        <f t="shared" si="2"/>
        <v>11.174999999999999</v>
      </c>
      <c r="H11" s="30">
        <f>B6*1.77</f>
        <v>159.30000000000001</v>
      </c>
      <c r="I11" s="32">
        <f t="shared" si="3"/>
        <v>13.275</v>
      </c>
      <c r="J11" s="30">
        <f>B6*1.52</f>
        <v>136.80000000000001</v>
      </c>
      <c r="K11" s="32">
        <f t="shared" si="4"/>
        <v>11.4</v>
      </c>
    </row>
    <row r="12" spans="1:256">
      <c r="A12" s="25" t="s">
        <v>19</v>
      </c>
      <c r="B12" s="26">
        <f>B6*3.14</f>
        <v>282.60000000000002</v>
      </c>
      <c r="C12" s="27">
        <f t="shared" si="0"/>
        <v>23.55</v>
      </c>
      <c r="D12" s="26">
        <f>B6*2.98</f>
        <v>268.2</v>
      </c>
      <c r="E12" s="27">
        <f t="shared" si="1"/>
        <v>22.349999999999998</v>
      </c>
      <c r="F12" s="26">
        <f>B6*2.39</f>
        <v>215.10000000000002</v>
      </c>
      <c r="G12" s="28">
        <f t="shared" si="2"/>
        <v>17.925000000000001</v>
      </c>
      <c r="H12" s="26">
        <f>B6*2.68</f>
        <v>241.20000000000002</v>
      </c>
      <c r="I12" s="28">
        <f t="shared" si="3"/>
        <v>20.100000000000001</v>
      </c>
      <c r="J12" s="26">
        <f>B6*2.08</f>
        <v>187.20000000000002</v>
      </c>
      <c r="K12" s="28">
        <f t="shared" si="4"/>
        <v>15.600000000000001</v>
      </c>
    </row>
    <row r="13" spans="1:256">
      <c r="A13" s="29" t="s">
        <v>20</v>
      </c>
      <c r="B13" s="30">
        <f>B6*3.8</f>
        <v>342</v>
      </c>
      <c r="C13" s="31">
        <f t="shared" si="0"/>
        <v>28.5</v>
      </c>
      <c r="D13" s="30">
        <f>B6*3.78</f>
        <v>340.20000000000005</v>
      </c>
      <c r="E13" s="31">
        <f t="shared" si="1"/>
        <v>28.350000000000005</v>
      </c>
      <c r="F13" s="30">
        <f>B6*3.3</f>
        <v>297</v>
      </c>
      <c r="G13" s="32">
        <f t="shared" si="2"/>
        <v>24.75</v>
      </c>
      <c r="H13" s="30">
        <f>B6*3.35</f>
        <v>301.5</v>
      </c>
      <c r="I13" s="32">
        <f t="shared" si="3"/>
        <v>25.125</v>
      </c>
      <c r="J13" s="30">
        <f>B6*2.73</f>
        <v>245.7</v>
      </c>
      <c r="K13" s="32">
        <f t="shared" si="4"/>
        <v>20.474999999999998</v>
      </c>
    </row>
    <row r="14" spans="1:256">
      <c r="A14" s="25" t="s">
        <v>21</v>
      </c>
      <c r="B14" s="26">
        <f>B6*4.51</f>
        <v>405.9</v>
      </c>
      <c r="C14" s="27">
        <f t="shared" si="0"/>
        <v>33.824999999999996</v>
      </c>
      <c r="D14" s="26">
        <f>B6*4.64</f>
        <v>417.59999999999997</v>
      </c>
      <c r="E14" s="27">
        <f t="shared" si="1"/>
        <v>34.799999999999997</v>
      </c>
      <c r="F14" s="26">
        <f>B6*4.32</f>
        <v>388.8</v>
      </c>
      <c r="G14" s="28">
        <f t="shared" si="2"/>
        <v>32.4</v>
      </c>
      <c r="H14" s="26">
        <f>B6*4.2</f>
        <v>378</v>
      </c>
      <c r="I14" s="28">
        <f t="shared" si="3"/>
        <v>31.5</v>
      </c>
      <c r="J14" s="26">
        <f>B6*3.5</f>
        <v>315</v>
      </c>
      <c r="K14" s="28">
        <f t="shared" si="4"/>
        <v>26.25</v>
      </c>
    </row>
    <row r="15" spans="1:256">
      <c r="A15" s="29" t="s">
        <v>22</v>
      </c>
      <c r="B15" s="30">
        <f>B6*4.99</f>
        <v>449.1</v>
      </c>
      <c r="C15" s="31">
        <f t="shared" si="0"/>
        <v>37.425000000000004</v>
      </c>
      <c r="D15" s="30">
        <f>B6*5.12</f>
        <v>460.8</v>
      </c>
      <c r="E15" s="31">
        <f t="shared" si="1"/>
        <v>38.4</v>
      </c>
      <c r="F15" s="30">
        <f>B6*4.66</f>
        <v>419.40000000000003</v>
      </c>
      <c r="G15" s="32">
        <f t="shared" si="2"/>
        <v>34.950000000000003</v>
      </c>
      <c r="H15" s="30">
        <f>B6*4.65</f>
        <v>418.50000000000006</v>
      </c>
      <c r="I15" s="32">
        <f t="shared" si="3"/>
        <v>34.875000000000007</v>
      </c>
      <c r="J15" s="30">
        <f>B6*3.53</f>
        <v>317.70000000000005</v>
      </c>
      <c r="K15" s="32">
        <f t="shared" si="4"/>
        <v>26.475000000000005</v>
      </c>
    </row>
    <row r="16" spans="1:256">
      <c r="A16" s="25" t="s">
        <v>23</v>
      </c>
      <c r="B16" s="26">
        <f>B6*4.95</f>
        <v>445.5</v>
      </c>
      <c r="C16" s="27">
        <f t="shared" si="0"/>
        <v>37.125</v>
      </c>
      <c r="D16" s="26">
        <f>B6*5.13</f>
        <v>461.7</v>
      </c>
      <c r="E16" s="27">
        <f t="shared" si="1"/>
        <v>38.475000000000001</v>
      </c>
      <c r="F16" s="26">
        <f>B6*4.74</f>
        <v>426.6</v>
      </c>
      <c r="G16" s="28">
        <f t="shared" si="2"/>
        <v>35.550000000000004</v>
      </c>
      <c r="H16" s="26">
        <f>B6*4.87</f>
        <v>438.3</v>
      </c>
      <c r="I16" s="28">
        <f t="shared" si="3"/>
        <v>36.524999999999999</v>
      </c>
      <c r="J16" s="26">
        <f>B6*3.37</f>
        <v>303.3</v>
      </c>
      <c r="K16" s="28">
        <f t="shared" si="4"/>
        <v>25.275000000000002</v>
      </c>
    </row>
    <row r="17" spans="1:12">
      <c r="A17" s="29" t="s">
        <v>24</v>
      </c>
      <c r="B17" s="30">
        <f>B6*4.47</f>
        <v>402.29999999999995</v>
      </c>
      <c r="C17" s="31">
        <f t="shared" si="0"/>
        <v>33.524999999999999</v>
      </c>
      <c r="D17" s="30">
        <f>B6*4.62</f>
        <v>415.8</v>
      </c>
      <c r="E17" s="31">
        <f t="shared" si="1"/>
        <v>34.65</v>
      </c>
      <c r="F17" s="30">
        <f>B6*4.09</f>
        <v>368.09999999999997</v>
      </c>
      <c r="G17" s="32">
        <f t="shared" si="2"/>
        <v>30.674999999999997</v>
      </c>
      <c r="H17" s="30">
        <f>B6*4.42</f>
        <v>397.8</v>
      </c>
      <c r="I17" s="32">
        <f t="shared" si="3"/>
        <v>33.15</v>
      </c>
      <c r="J17" s="30">
        <f>B6*2.8</f>
        <v>251.99999999999997</v>
      </c>
      <c r="K17" s="32">
        <f t="shared" si="4"/>
        <v>20.999999999999996</v>
      </c>
    </row>
    <row r="18" spans="1:12">
      <c r="A18" s="25" t="s">
        <v>25</v>
      </c>
      <c r="B18" s="26">
        <f>B6*3.72</f>
        <v>334.79999999999995</v>
      </c>
      <c r="C18" s="27">
        <f t="shared" si="0"/>
        <v>27.899999999999995</v>
      </c>
      <c r="D18" s="26">
        <f>B6*3.7</f>
        <v>333</v>
      </c>
      <c r="E18" s="27">
        <f t="shared" si="1"/>
        <v>27.75</v>
      </c>
      <c r="F18" s="26">
        <f>B6*3.02</f>
        <v>271.8</v>
      </c>
      <c r="G18" s="28">
        <f t="shared" si="2"/>
        <v>22.650000000000002</v>
      </c>
      <c r="H18" s="26">
        <f>B6*3.53</f>
        <v>317.70000000000005</v>
      </c>
      <c r="I18" s="28">
        <f t="shared" si="3"/>
        <v>26.475000000000005</v>
      </c>
      <c r="J18" s="26">
        <f>B6*2.42</f>
        <v>217.79999999999998</v>
      </c>
      <c r="K18" s="28">
        <f t="shared" si="4"/>
        <v>18.149999999999999</v>
      </c>
    </row>
    <row r="19" spans="1:12">
      <c r="A19" s="29" t="s">
        <v>26</v>
      </c>
      <c r="B19" s="30">
        <f>B6*2.7</f>
        <v>243.00000000000003</v>
      </c>
      <c r="C19" s="31">
        <f t="shared" si="0"/>
        <v>20.250000000000004</v>
      </c>
      <c r="D19" s="30">
        <f>B6*2.64</f>
        <v>237.60000000000002</v>
      </c>
      <c r="E19" s="31">
        <f t="shared" si="1"/>
        <v>19.8</v>
      </c>
      <c r="F19" s="30">
        <f>B6*1.94</f>
        <v>174.6</v>
      </c>
      <c r="G19" s="32">
        <f t="shared" si="2"/>
        <v>14.549999999999999</v>
      </c>
      <c r="H19" s="30">
        <f>B6*2.38</f>
        <v>214.2</v>
      </c>
      <c r="I19" s="32">
        <f t="shared" si="3"/>
        <v>17.849999999999998</v>
      </c>
      <c r="J19" s="30">
        <f>B6*1.78</f>
        <v>160.19999999999999</v>
      </c>
      <c r="K19" s="32">
        <f t="shared" si="4"/>
        <v>13.35</v>
      </c>
    </row>
    <row r="20" spans="1:12">
      <c r="A20" s="25" t="s">
        <v>27</v>
      </c>
      <c r="B20" s="26">
        <f>B6*1.9</f>
        <v>171</v>
      </c>
      <c r="C20" s="27">
        <f t="shared" si="0"/>
        <v>14.25</v>
      </c>
      <c r="D20" s="26">
        <f>B6*1.8</f>
        <v>162</v>
      </c>
      <c r="E20" s="27">
        <f t="shared" si="1"/>
        <v>13.5</v>
      </c>
      <c r="F20" s="26">
        <f>B6*1.3</f>
        <v>117</v>
      </c>
      <c r="G20" s="28">
        <f t="shared" si="2"/>
        <v>9.75</v>
      </c>
      <c r="H20" s="26">
        <f>B6*1.65</f>
        <v>148.5</v>
      </c>
      <c r="I20" s="28">
        <f t="shared" si="3"/>
        <v>12.375</v>
      </c>
      <c r="J20" s="26">
        <f>B6*1.35</f>
        <v>121.50000000000001</v>
      </c>
      <c r="K20" s="28">
        <f t="shared" si="4"/>
        <v>10.125000000000002</v>
      </c>
      <c r="L20" s="15"/>
    </row>
    <row r="21" spans="1:12">
      <c r="A21" s="29" t="s">
        <v>28</v>
      </c>
      <c r="B21" s="30">
        <f>B6*1.52</f>
        <v>136.80000000000001</v>
      </c>
      <c r="C21" s="31">
        <f t="shared" si="0"/>
        <v>11.4</v>
      </c>
      <c r="D21" s="30">
        <f>B6*1.44</f>
        <v>129.6</v>
      </c>
      <c r="E21" s="31">
        <f t="shared" si="1"/>
        <v>10.799999999999999</v>
      </c>
      <c r="F21" s="30">
        <f>B6*1.06</f>
        <v>95.4</v>
      </c>
      <c r="G21" s="32">
        <f t="shared" si="2"/>
        <v>7.95</v>
      </c>
      <c r="H21" s="30">
        <f>B6*1.17</f>
        <v>105.3</v>
      </c>
      <c r="I21" s="32">
        <f t="shared" si="3"/>
        <v>8.7750000000000004</v>
      </c>
      <c r="J21" s="30">
        <f>B6*0.91</f>
        <v>81.900000000000006</v>
      </c>
      <c r="K21" s="32">
        <f t="shared" si="4"/>
        <v>6.8250000000000002</v>
      </c>
    </row>
    <row r="23" spans="1:12" ht="21.6" customHeight="1">
      <c r="A23" s="33"/>
      <c r="B23" s="34" t="s">
        <v>29</v>
      </c>
      <c r="C23" s="34"/>
      <c r="D23" s="34"/>
      <c r="E23" s="34"/>
      <c r="F23" s="34"/>
      <c r="G23" s="34"/>
      <c r="H23" s="34"/>
      <c r="I23" s="34"/>
      <c r="J23" s="34"/>
      <c r="K23" s="35"/>
    </row>
    <row r="24" spans="1:12" s="37" customFormat="1">
      <c r="A24" s="12" t="s">
        <v>30</v>
      </c>
      <c r="B24" s="36"/>
      <c r="C24" s="36"/>
      <c r="D24" s="36"/>
      <c r="E24" s="36"/>
      <c r="F24" s="36"/>
      <c r="G24" s="36"/>
      <c r="H24" s="36"/>
      <c r="I24" s="36"/>
      <c r="J24" s="36"/>
      <c r="K24" s="36"/>
    </row>
    <row r="25" spans="1:12" ht="16.350000000000001" customHeight="1">
      <c r="A25" s="18" t="s">
        <v>31</v>
      </c>
      <c r="B25" s="38"/>
      <c r="C25" s="39">
        <v>33</v>
      </c>
      <c r="D25" s="38"/>
      <c r="E25" s="38"/>
      <c r="F25" s="38"/>
      <c r="G25" s="38"/>
      <c r="H25" s="38"/>
      <c r="I25" s="38"/>
      <c r="J25" s="38"/>
    </row>
    <row r="26" spans="1:12" ht="11.85" customHeight="1">
      <c r="B26" s="38"/>
      <c r="C26" s="38"/>
      <c r="D26" s="38"/>
      <c r="E26" s="38"/>
      <c r="F26" s="38"/>
      <c r="G26" s="38"/>
      <c r="H26" s="38"/>
      <c r="I26" s="38"/>
      <c r="J26" s="38"/>
    </row>
    <row r="27" spans="1:12">
      <c r="A27" s="21" t="s">
        <v>8</v>
      </c>
      <c r="B27" s="190" t="s">
        <v>32</v>
      </c>
      <c r="C27" s="190"/>
      <c r="D27" s="190" t="s">
        <v>33</v>
      </c>
      <c r="E27" s="190"/>
      <c r="F27" s="190" t="s">
        <v>34</v>
      </c>
      <c r="G27" s="190"/>
      <c r="H27" s="190" t="s">
        <v>35</v>
      </c>
      <c r="I27" s="190"/>
      <c r="J27" s="190" t="s">
        <v>36</v>
      </c>
      <c r="K27" s="190"/>
    </row>
    <row r="28" spans="1:12">
      <c r="A28" s="40" t="s">
        <v>17</v>
      </c>
      <c r="B28" s="41"/>
      <c r="C28" s="42">
        <f>7.36*C25</f>
        <v>242.88000000000002</v>
      </c>
      <c r="D28" s="43"/>
      <c r="E28" s="42">
        <f>7.74*C25</f>
        <v>255.42000000000002</v>
      </c>
      <c r="F28" s="43"/>
      <c r="G28" s="42">
        <f>11.32*C25</f>
        <v>373.56</v>
      </c>
      <c r="H28" s="43"/>
      <c r="I28" s="42">
        <f>9.6*C25</f>
        <v>316.8</v>
      </c>
      <c r="J28" s="43"/>
      <c r="K28" s="42">
        <f>10.81*C25</f>
        <v>356.73</v>
      </c>
    </row>
    <row r="29" spans="1:12">
      <c r="A29" s="29" t="s">
        <v>18</v>
      </c>
      <c r="B29" s="44"/>
      <c r="C29" s="32">
        <f>5.66*C25</f>
        <v>186.78</v>
      </c>
      <c r="D29" s="44"/>
      <c r="E29" s="32">
        <f>6.12*C25</f>
        <v>201.96</v>
      </c>
      <c r="F29" s="44"/>
      <c r="G29" s="32">
        <f>8.05*C25</f>
        <v>265.65000000000003</v>
      </c>
      <c r="H29" s="44"/>
      <c r="I29" s="32">
        <f>6.78*C25</f>
        <v>223.74</v>
      </c>
      <c r="J29" s="44"/>
      <c r="K29" s="32">
        <f>7.89*C25</f>
        <v>260.37</v>
      </c>
    </row>
    <row r="30" spans="1:12">
      <c r="A30" s="40" t="s">
        <v>19</v>
      </c>
      <c r="B30" s="41"/>
      <c r="C30" s="42">
        <f>3.82*C25</f>
        <v>126.06</v>
      </c>
      <c r="D30" s="41"/>
      <c r="E30" s="42">
        <f>4.03*C25</f>
        <v>132.99</v>
      </c>
      <c r="F30" s="41"/>
      <c r="G30" s="42">
        <f>5.02*C25</f>
        <v>165.66</v>
      </c>
      <c r="H30" s="41"/>
      <c r="I30" s="42">
        <f>4.48*C25</f>
        <v>147.84</v>
      </c>
      <c r="J30" s="41"/>
      <c r="K30" s="42">
        <f>5.77*C25</f>
        <v>190.41</v>
      </c>
    </row>
    <row r="31" spans="1:12">
      <c r="A31" s="29" t="s">
        <v>20</v>
      </c>
      <c r="B31" s="44"/>
      <c r="C31" s="32">
        <f>3.16*C25</f>
        <v>104.28</v>
      </c>
      <c r="D31" s="44"/>
      <c r="E31" s="32">
        <f>3.17*C25</f>
        <v>104.61</v>
      </c>
      <c r="F31" s="44"/>
      <c r="G31" s="32">
        <f>3.64*C25</f>
        <v>120.12</v>
      </c>
      <c r="H31" s="44"/>
      <c r="I31" s="32">
        <f>3.58*C25</f>
        <v>118.14</v>
      </c>
      <c r="J31" s="44"/>
      <c r="K31" s="32">
        <f>4.4*C25</f>
        <v>145.20000000000002</v>
      </c>
    </row>
    <row r="32" spans="1:12">
      <c r="A32" s="40" t="s">
        <v>21</v>
      </c>
      <c r="B32" s="41"/>
      <c r="C32" s="42">
        <f>2.66*C25</f>
        <v>87.78</v>
      </c>
      <c r="D32" s="41"/>
      <c r="E32" s="42">
        <f>2.59*C25</f>
        <v>85.47</v>
      </c>
      <c r="F32" s="41"/>
      <c r="G32" s="42">
        <f>2.78*C25</f>
        <v>91.740000000000009</v>
      </c>
      <c r="H32" s="41"/>
      <c r="I32" s="42">
        <f>2.86*C25</f>
        <v>94.38</v>
      </c>
      <c r="J32" s="41"/>
      <c r="K32" s="42">
        <f>3.43*C25</f>
        <v>113.19000000000001</v>
      </c>
    </row>
    <row r="33" spans="1:11">
      <c r="A33" s="29" t="s">
        <v>22</v>
      </c>
      <c r="B33" s="44"/>
      <c r="C33" s="32">
        <f>2.4*C25</f>
        <v>79.2</v>
      </c>
      <c r="D33" s="44"/>
      <c r="E33" s="32">
        <f>2.34*C25</f>
        <v>77.22</v>
      </c>
      <c r="F33" s="44"/>
      <c r="G33" s="32">
        <f>2.58*C25</f>
        <v>85.14</v>
      </c>
      <c r="H33" s="44"/>
      <c r="I33" s="32">
        <f>2.58*C25</f>
        <v>85.14</v>
      </c>
      <c r="J33" s="44"/>
      <c r="K33" s="32">
        <f>3.4*C25</f>
        <v>112.2</v>
      </c>
    </row>
    <row r="34" spans="1:11">
      <c r="A34" s="40" t="s">
        <v>23</v>
      </c>
      <c r="B34" s="41"/>
      <c r="C34" s="42">
        <f>2.42*C25</f>
        <v>79.86</v>
      </c>
      <c r="D34" s="41"/>
      <c r="E34" s="42">
        <f>2.34*C25</f>
        <v>77.22</v>
      </c>
      <c r="F34" s="41"/>
      <c r="G34" s="42">
        <f>2.53*C25</f>
        <v>83.490000000000009</v>
      </c>
      <c r="H34" s="41"/>
      <c r="I34" s="42">
        <f>2.46*C25</f>
        <v>81.179999999999993</v>
      </c>
      <c r="J34" s="41"/>
      <c r="K34" s="42">
        <f>3.56*C25</f>
        <v>117.48</v>
      </c>
    </row>
    <row r="35" spans="1:11">
      <c r="A35" s="29" t="s">
        <v>24</v>
      </c>
      <c r="B35" s="44"/>
      <c r="C35" s="32">
        <f>2.68*C25</f>
        <v>88.440000000000012</v>
      </c>
      <c r="D35" s="44"/>
      <c r="E35" s="32">
        <f>2.6*C25</f>
        <v>85.8</v>
      </c>
      <c r="F35" s="44"/>
      <c r="G35" s="32">
        <f>2.93*C25</f>
        <v>96.690000000000012</v>
      </c>
      <c r="H35" s="44"/>
      <c r="I35" s="32">
        <f>2.71*C25</f>
        <v>89.429999999999993</v>
      </c>
      <c r="J35" s="44"/>
      <c r="K35" s="32">
        <f>4.29*C25</f>
        <v>141.57</v>
      </c>
    </row>
    <row r="36" spans="1:11">
      <c r="A36" s="40" t="s">
        <v>25</v>
      </c>
      <c r="B36" s="41"/>
      <c r="C36" s="42">
        <f>3.23*C25</f>
        <v>106.59</v>
      </c>
      <c r="D36" s="41"/>
      <c r="E36" s="42">
        <f>3.24*C25</f>
        <v>106.92</v>
      </c>
      <c r="F36" s="41"/>
      <c r="G36" s="42">
        <f>3.97*C25</f>
        <v>131.01</v>
      </c>
      <c r="H36" s="41"/>
      <c r="I36" s="42">
        <f>3.4*C25</f>
        <v>112.2</v>
      </c>
      <c r="J36" s="41"/>
      <c r="K36" s="42">
        <f>4.96*C25</f>
        <v>163.68</v>
      </c>
    </row>
    <row r="37" spans="1:11">
      <c r="A37" s="29" t="s">
        <v>26</v>
      </c>
      <c r="B37" s="44"/>
      <c r="C37" s="32">
        <f>4.44*C25</f>
        <v>146.52000000000001</v>
      </c>
      <c r="D37" s="44"/>
      <c r="E37" s="32">
        <f>4.55*C25</f>
        <v>150.15</v>
      </c>
      <c r="F37" s="44"/>
      <c r="G37" s="32">
        <f>6.19*C25</f>
        <v>204.27</v>
      </c>
      <c r="H37" s="44"/>
      <c r="I37" s="32">
        <f>5.04*C25</f>
        <v>166.32</v>
      </c>
      <c r="J37" s="44"/>
      <c r="K37" s="32">
        <f>6.74*C25</f>
        <v>222.42000000000002</v>
      </c>
    </row>
    <row r="38" spans="1:11">
      <c r="A38" s="40" t="s">
        <v>27</v>
      </c>
      <c r="B38" s="41"/>
      <c r="C38" s="42">
        <f>6.32*C25</f>
        <v>208.56</v>
      </c>
      <c r="D38" s="41"/>
      <c r="E38" s="42">
        <f>6.67*C25</f>
        <v>220.10999999999999</v>
      </c>
      <c r="F38" s="41"/>
      <c r="G38" s="42">
        <f>9.23*C25</f>
        <v>304.59000000000003</v>
      </c>
      <c r="H38" s="41"/>
      <c r="I38" s="42">
        <f>7.27*C25</f>
        <v>239.91</v>
      </c>
      <c r="J38" s="41"/>
      <c r="K38" s="42">
        <f>8.89*C25</f>
        <v>293.37</v>
      </c>
    </row>
    <row r="39" spans="1:11">
      <c r="A39" s="29" t="s">
        <v>28</v>
      </c>
      <c r="B39" s="44"/>
      <c r="C39" s="32">
        <f>7.89*C25</f>
        <v>260.37</v>
      </c>
      <c r="D39" s="44"/>
      <c r="E39" s="32">
        <f>8.33*C25</f>
        <v>274.89</v>
      </c>
      <c r="F39" s="44"/>
      <c r="G39" s="32">
        <f>11.32*C25</f>
        <v>373.56</v>
      </c>
      <c r="H39" s="44"/>
      <c r="I39" s="32">
        <f>10.26*C25</f>
        <v>338.58</v>
      </c>
      <c r="J39" s="44"/>
      <c r="K39" s="32">
        <f>13.19*C25</f>
        <v>435.27</v>
      </c>
    </row>
    <row r="41" spans="1:11" ht="15.75">
      <c r="A41" s="45"/>
      <c r="B41" s="45"/>
      <c r="C41" s="45"/>
      <c r="D41" s="45"/>
      <c r="E41" s="45"/>
      <c r="F41" s="46" t="s">
        <v>37</v>
      </c>
      <c r="G41" s="45"/>
      <c r="H41" s="45"/>
      <c r="I41" s="45"/>
      <c r="J41" s="45"/>
      <c r="K41" s="45"/>
    </row>
    <row r="42" spans="1:11" s="49" customFormat="1">
      <c r="A42" s="47" t="s">
        <v>38</v>
      </c>
      <c r="B42" s="47"/>
      <c r="C42" s="47"/>
      <c r="D42" s="47"/>
      <c r="E42" s="47"/>
      <c r="F42" s="47"/>
      <c r="G42" s="48"/>
      <c r="H42" s="47"/>
      <c r="I42" s="47"/>
      <c r="J42" s="47"/>
      <c r="K42" s="47"/>
    </row>
    <row r="44" spans="1:11">
      <c r="A44" s="50" t="s">
        <v>39</v>
      </c>
      <c r="B44" s="51"/>
    </row>
  </sheetData>
  <sheetProtection sheet="1"/>
  <mergeCells count="10">
    <mergeCell ref="J8:K8"/>
    <mergeCell ref="B27:C27"/>
    <mergeCell ref="D27:E27"/>
    <mergeCell ref="F27:G27"/>
    <mergeCell ref="H27:I27"/>
    <mergeCell ref="J27:K27"/>
    <mergeCell ref="B8:C8"/>
    <mergeCell ref="D8:E8"/>
    <mergeCell ref="F8:G8"/>
    <mergeCell ref="H8:I8"/>
  </mergeCells>
  <phoneticPr fontId="32" type="noConversion"/>
  <pageMargins left="0.78749999999999998" right="0.78749999999999998" top="1.0249999999999999" bottom="1.0249999999999999" header="0.78749999999999998" footer="0.78749999999999998"/>
  <pageSetup paperSize="9" orientation="portrait" useFirstPageNumber="1" horizontalDpi="300" verticalDpi="300"/>
  <headerFooter alignWithMargins="0">
    <oddHeader>&amp;C&amp;A</oddHeader>
    <oddFooter>&amp;CSeite &amp;P</oddFooter>
  </headerFooter>
</worksheet>
</file>

<file path=xl/worksheets/sheet2.xml><?xml version="1.0" encoding="utf-8"?>
<worksheet xmlns="http://schemas.openxmlformats.org/spreadsheetml/2006/main" xmlns:r="http://schemas.openxmlformats.org/officeDocument/2006/relationships">
  <dimension ref="A1:J102"/>
  <sheetViews>
    <sheetView workbookViewId="0">
      <selection activeCell="B6" sqref="B6"/>
    </sheetView>
  </sheetViews>
  <sheetFormatPr defaultColWidth="11" defaultRowHeight="12.75" customHeight="1"/>
  <cols>
    <col min="1" max="1" width="35" style="1" customWidth="1"/>
    <col min="2" max="2" width="11.7109375" style="1" customWidth="1"/>
    <col min="3" max="3" width="12.140625" style="1" customWidth="1"/>
    <col min="4" max="4" width="11.5703125" style="1" customWidth="1"/>
    <col min="5" max="5" width="13.28515625" style="1" customWidth="1"/>
    <col min="6" max="6" width="11.85546875" style="1" customWidth="1"/>
    <col min="7" max="8" width="11" style="1" customWidth="1"/>
    <col min="9" max="9" width="8.85546875" style="1" customWidth="1"/>
    <col min="10" max="16384" width="11" style="1"/>
  </cols>
  <sheetData>
    <row r="1" spans="1:8" s="54" customFormat="1" ht="35.1" customHeight="1">
      <c r="A1" s="52" t="s">
        <v>40</v>
      </c>
      <c r="B1" s="53"/>
      <c r="C1" s="53"/>
      <c r="D1" s="53"/>
      <c r="E1" s="53"/>
      <c r="F1" s="53"/>
    </row>
    <row r="2" spans="1:8" s="57" customFormat="1" ht="20.85" customHeight="1">
      <c r="A2" s="55" t="s">
        <v>41</v>
      </c>
      <c r="B2" s="56" t="s">
        <v>42</v>
      </c>
      <c r="C2" s="56" t="s">
        <v>43</v>
      </c>
      <c r="D2" s="56" t="s">
        <v>44</v>
      </c>
      <c r="E2" s="56" t="s">
        <v>45</v>
      </c>
      <c r="F2" s="56" t="s">
        <v>46</v>
      </c>
    </row>
    <row r="3" spans="1:8" s="62" customFormat="1" ht="12.75" customHeight="1">
      <c r="A3" s="58"/>
      <c r="B3" s="59" t="s">
        <v>47</v>
      </c>
      <c r="C3" s="60" t="s">
        <v>48</v>
      </c>
      <c r="D3" s="61" t="s">
        <v>49</v>
      </c>
      <c r="E3" s="60" t="s">
        <v>50</v>
      </c>
      <c r="F3" s="59" t="s">
        <v>51</v>
      </c>
    </row>
    <row r="4" spans="1:8" s="63" customFormat="1" ht="20.100000000000001" customHeight="1">
      <c r="A4" s="191" t="s">
        <v>52</v>
      </c>
      <c r="B4" s="191"/>
      <c r="C4" s="191"/>
      <c r="D4" s="191"/>
      <c r="E4" s="191"/>
      <c r="F4" s="191"/>
    </row>
    <row r="5" spans="1:8" ht="12.75" customHeight="1">
      <c r="A5" s="64" t="s">
        <v>53</v>
      </c>
      <c r="B5" s="65"/>
      <c r="C5" s="65"/>
      <c r="D5" s="66"/>
      <c r="E5" s="65"/>
      <c r="F5" s="67"/>
    </row>
    <row r="6" spans="1:8" ht="12.75" customHeight="1">
      <c r="A6" s="68" t="s">
        <v>54</v>
      </c>
      <c r="B6" s="69">
        <v>1</v>
      </c>
      <c r="C6" s="69">
        <v>6</v>
      </c>
      <c r="D6" s="70">
        <f t="shared" ref="D6:D14" si="0">ROUND(B6*C6/12,2)</f>
        <v>0.5</v>
      </c>
      <c r="E6" s="69">
        <v>2</v>
      </c>
      <c r="F6" s="71">
        <f t="shared" ref="F6:F14" si="1">PRODUCT(D6,E6)</f>
        <v>1</v>
      </c>
    </row>
    <row r="7" spans="1:8" ht="12.75" customHeight="1">
      <c r="A7" s="72" t="s">
        <v>55</v>
      </c>
      <c r="B7" s="73">
        <v>2</v>
      </c>
      <c r="C7" s="73">
        <v>1.3</v>
      </c>
      <c r="D7" s="74">
        <f t="shared" si="0"/>
        <v>0.22</v>
      </c>
      <c r="E7" s="73">
        <v>2</v>
      </c>
      <c r="F7" s="75">
        <f t="shared" si="1"/>
        <v>0.44</v>
      </c>
      <c r="H7"/>
    </row>
    <row r="8" spans="1:8" ht="12.75" customHeight="1">
      <c r="A8" s="68" t="s">
        <v>56</v>
      </c>
      <c r="B8" s="69">
        <v>4</v>
      </c>
      <c r="C8" s="69">
        <v>1</v>
      </c>
      <c r="D8" s="70">
        <f t="shared" si="0"/>
        <v>0.33</v>
      </c>
      <c r="E8" s="69">
        <v>2</v>
      </c>
      <c r="F8" s="71">
        <f t="shared" si="1"/>
        <v>0.66</v>
      </c>
    </row>
    <row r="9" spans="1:8" ht="12.75" customHeight="1">
      <c r="A9" s="72" t="s">
        <v>57</v>
      </c>
      <c r="B9" s="73">
        <v>0</v>
      </c>
      <c r="C9" s="73">
        <v>2</v>
      </c>
      <c r="D9" s="74">
        <f t="shared" si="0"/>
        <v>0</v>
      </c>
      <c r="E9" s="73">
        <v>0</v>
      </c>
      <c r="F9" s="75">
        <f t="shared" si="1"/>
        <v>0</v>
      </c>
    </row>
    <row r="10" spans="1:8" ht="12.75" customHeight="1">
      <c r="A10" s="68" t="s">
        <v>58</v>
      </c>
      <c r="B10" s="69">
        <v>0</v>
      </c>
      <c r="C10" s="69">
        <v>5</v>
      </c>
      <c r="D10" s="70">
        <f t="shared" si="0"/>
        <v>0</v>
      </c>
      <c r="E10" s="69">
        <v>0</v>
      </c>
      <c r="F10" s="71">
        <f t="shared" si="1"/>
        <v>0</v>
      </c>
    </row>
    <row r="11" spans="1:8" ht="12.75" customHeight="1">
      <c r="A11" s="72" t="s">
        <v>59</v>
      </c>
      <c r="B11" s="73">
        <v>0</v>
      </c>
      <c r="C11" s="73">
        <v>15</v>
      </c>
      <c r="D11" s="74">
        <f t="shared" si="0"/>
        <v>0</v>
      </c>
      <c r="E11" s="73">
        <v>0</v>
      </c>
      <c r="F11" s="75">
        <f t="shared" si="1"/>
        <v>0</v>
      </c>
    </row>
    <row r="12" spans="1:8" ht="12.75" customHeight="1">
      <c r="A12" s="68" t="s">
        <v>60</v>
      </c>
      <c r="B12" s="69">
        <v>0</v>
      </c>
      <c r="C12" s="69">
        <v>100</v>
      </c>
      <c r="D12" s="70">
        <f t="shared" si="0"/>
        <v>0</v>
      </c>
      <c r="E12" s="69">
        <v>0</v>
      </c>
      <c r="F12" s="71">
        <f t="shared" si="1"/>
        <v>0</v>
      </c>
    </row>
    <row r="13" spans="1:8" ht="12.75" customHeight="1">
      <c r="A13" s="72" t="s">
        <v>61</v>
      </c>
      <c r="B13" s="76">
        <v>0</v>
      </c>
      <c r="C13" s="76">
        <v>5</v>
      </c>
      <c r="D13" s="74">
        <f t="shared" si="0"/>
        <v>0</v>
      </c>
      <c r="E13" s="76">
        <v>0</v>
      </c>
      <c r="F13" s="75">
        <f t="shared" si="1"/>
        <v>0</v>
      </c>
    </row>
    <row r="14" spans="1:8" ht="12.75" customHeight="1">
      <c r="A14" s="68" t="s">
        <v>62</v>
      </c>
      <c r="B14" s="69">
        <v>0</v>
      </c>
      <c r="C14" s="69">
        <v>0</v>
      </c>
      <c r="D14" s="70">
        <f t="shared" si="0"/>
        <v>0</v>
      </c>
      <c r="E14" s="69">
        <v>0</v>
      </c>
      <c r="F14" s="71">
        <f t="shared" si="1"/>
        <v>0</v>
      </c>
    </row>
    <row r="15" spans="1:8" ht="12.75" customHeight="1">
      <c r="A15" s="64" t="s">
        <v>63</v>
      </c>
      <c r="B15" s="77"/>
      <c r="C15" s="77"/>
      <c r="D15" s="65"/>
      <c r="E15" s="77"/>
      <c r="F15" s="78"/>
    </row>
    <row r="16" spans="1:8" ht="12.75" customHeight="1">
      <c r="A16" s="68" t="s">
        <v>64</v>
      </c>
      <c r="B16" s="69">
        <v>1</v>
      </c>
      <c r="C16" s="69">
        <v>42</v>
      </c>
      <c r="D16" s="70">
        <f>ROUND(B16*C16/12,2)</f>
        <v>3.5</v>
      </c>
      <c r="E16" s="69">
        <v>7</v>
      </c>
      <c r="F16" s="71">
        <f>PRODUCT(D16,E16)</f>
        <v>24.5</v>
      </c>
    </row>
    <row r="17" spans="1:10" ht="12.75" customHeight="1">
      <c r="A17" s="72" t="s">
        <v>65</v>
      </c>
      <c r="B17" s="73">
        <v>0</v>
      </c>
      <c r="C17" s="73">
        <v>200</v>
      </c>
      <c r="D17" s="74">
        <f>ROUND(B17*C17/12,2)</f>
        <v>0</v>
      </c>
      <c r="E17" s="73">
        <v>0</v>
      </c>
      <c r="F17" s="75">
        <f>PRODUCT(D17,E17)</f>
        <v>0</v>
      </c>
    </row>
    <row r="18" spans="1:10" ht="12.75" customHeight="1">
      <c r="A18" s="68" t="s">
        <v>66</v>
      </c>
      <c r="B18" s="69">
        <v>0</v>
      </c>
      <c r="C18" s="69">
        <v>180</v>
      </c>
      <c r="D18" s="70">
        <f>ROUND(B18*C18/12,2)</f>
        <v>0</v>
      </c>
      <c r="E18" s="69">
        <v>0</v>
      </c>
      <c r="F18" s="71">
        <f>PRODUCT(D18,E18)</f>
        <v>0</v>
      </c>
    </row>
    <row r="19" spans="1:10" ht="12.75" customHeight="1">
      <c r="A19" s="72" t="s">
        <v>67</v>
      </c>
      <c r="B19" s="73">
        <v>0</v>
      </c>
      <c r="C19" s="73">
        <v>175</v>
      </c>
      <c r="D19" s="74">
        <f>ROUND(B19*C19/12,2)</f>
        <v>0</v>
      </c>
      <c r="E19" s="73">
        <v>0</v>
      </c>
      <c r="F19" s="75">
        <f>PRODUCT(D19,E19)</f>
        <v>0</v>
      </c>
    </row>
    <row r="20" spans="1:10" ht="12.75" customHeight="1">
      <c r="A20" s="68" t="s">
        <v>62</v>
      </c>
      <c r="B20" s="69">
        <v>0</v>
      </c>
      <c r="C20" s="69">
        <v>0</v>
      </c>
      <c r="D20" s="70">
        <f>ROUND(B20*C20/12,2)</f>
        <v>0</v>
      </c>
      <c r="E20" s="69">
        <v>0</v>
      </c>
      <c r="F20" s="71">
        <f>PRODUCT(D20,E20)</f>
        <v>0</v>
      </c>
    </row>
    <row r="21" spans="1:10" ht="12.75" customHeight="1">
      <c r="A21" s="64" t="s">
        <v>68</v>
      </c>
      <c r="B21" s="77"/>
      <c r="C21" s="77"/>
      <c r="D21" s="65"/>
      <c r="E21" s="77"/>
      <c r="F21" s="78"/>
    </row>
    <row r="22" spans="1:10" ht="12.75" customHeight="1">
      <c r="A22" s="79" t="s">
        <v>69</v>
      </c>
      <c r="B22" s="76">
        <v>0</v>
      </c>
      <c r="C22" s="76">
        <v>40</v>
      </c>
      <c r="D22" s="80">
        <f>ROUND(B22*C22/12,2)</f>
        <v>0</v>
      </c>
      <c r="E22" s="76">
        <v>0</v>
      </c>
      <c r="F22" s="81">
        <f>PRODUCT(D22,E22)</f>
        <v>0</v>
      </c>
    </row>
    <row r="23" spans="1:10" ht="12.75" customHeight="1">
      <c r="A23" s="68" t="s">
        <v>70</v>
      </c>
      <c r="B23" s="69">
        <v>0</v>
      </c>
      <c r="C23" s="69">
        <v>300</v>
      </c>
      <c r="D23" s="70">
        <v>0</v>
      </c>
      <c r="E23" s="69">
        <v>0</v>
      </c>
      <c r="F23" s="71">
        <v>0</v>
      </c>
    </row>
    <row r="24" spans="1:10" ht="12.75" customHeight="1">
      <c r="A24" s="72" t="s">
        <v>71</v>
      </c>
      <c r="B24" s="76">
        <v>1</v>
      </c>
      <c r="C24" s="76">
        <v>30</v>
      </c>
      <c r="D24" s="74">
        <f t="shared" ref="D24:D35" si="2">ROUND(B24*C24/12,2)</f>
        <v>2.5</v>
      </c>
      <c r="E24" s="76">
        <v>0.12</v>
      </c>
      <c r="F24" s="75">
        <f t="shared" ref="F24:F35" si="3">PRODUCT(D24,E24)</f>
        <v>0.3</v>
      </c>
    </row>
    <row r="25" spans="1:10" ht="12.75" customHeight="1">
      <c r="A25" s="68" t="s">
        <v>72</v>
      </c>
      <c r="B25" s="69">
        <v>0</v>
      </c>
      <c r="C25" s="69">
        <v>10</v>
      </c>
      <c r="D25" s="70">
        <f t="shared" si="2"/>
        <v>0</v>
      </c>
      <c r="E25" s="69">
        <v>0</v>
      </c>
      <c r="F25" s="71">
        <f t="shared" si="3"/>
        <v>0</v>
      </c>
    </row>
    <row r="26" spans="1:10" ht="12.75" customHeight="1">
      <c r="A26" s="79" t="s">
        <v>73</v>
      </c>
      <c r="B26" s="76">
        <v>0</v>
      </c>
      <c r="C26" s="76">
        <v>100</v>
      </c>
      <c r="D26" s="74">
        <f t="shared" si="2"/>
        <v>0</v>
      </c>
      <c r="E26" s="76">
        <v>0</v>
      </c>
      <c r="F26" s="75">
        <f t="shared" si="3"/>
        <v>0</v>
      </c>
    </row>
    <row r="27" spans="1:10" ht="12.75" customHeight="1">
      <c r="A27" s="68" t="s">
        <v>74</v>
      </c>
      <c r="B27" s="69">
        <v>2</v>
      </c>
      <c r="C27" s="69">
        <v>0.1</v>
      </c>
      <c r="D27" s="70">
        <f t="shared" si="2"/>
        <v>0.02</v>
      </c>
      <c r="E27" s="69">
        <v>24</v>
      </c>
      <c r="F27" s="71">
        <f t="shared" si="3"/>
        <v>0.48</v>
      </c>
      <c r="J27" s="82"/>
    </row>
    <row r="28" spans="1:10" ht="12.75" customHeight="1">
      <c r="A28" s="79" t="s">
        <v>75</v>
      </c>
      <c r="B28" s="76">
        <v>1</v>
      </c>
      <c r="C28" s="76">
        <v>32</v>
      </c>
      <c r="D28" s="74">
        <f t="shared" si="2"/>
        <v>2.67</v>
      </c>
      <c r="E28" s="76">
        <v>2</v>
      </c>
      <c r="F28" s="75">
        <f t="shared" si="3"/>
        <v>5.34</v>
      </c>
    </row>
    <row r="29" spans="1:10" ht="12.75" customHeight="1">
      <c r="A29" s="68" t="s">
        <v>76</v>
      </c>
      <c r="B29" s="69">
        <v>0</v>
      </c>
      <c r="C29" s="69">
        <v>15</v>
      </c>
      <c r="D29" s="70">
        <f t="shared" si="2"/>
        <v>0</v>
      </c>
      <c r="E29" s="69">
        <v>0.09</v>
      </c>
      <c r="F29" s="71">
        <f t="shared" si="3"/>
        <v>0</v>
      </c>
    </row>
    <row r="30" spans="1:10" ht="12.75" customHeight="1">
      <c r="A30" s="72" t="s">
        <v>77</v>
      </c>
      <c r="B30" s="76">
        <v>0</v>
      </c>
      <c r="C30" s="76">
        <v>1</v>
      </c>
      <c r="D30" s="80">
        <f t="shared" si="2"/>
        <v>0</v>
      </c>
      <c r="E30" s="76">
        <v>0</v>
      </c>
      <c r="F30" s="75">
        <f t="shared" si="3"/>
        <v>0</v>
      </c>
      <c r="H30" s="51"/>
    </row>
    <row r="31" spans="1:10" ht="12.75" customHeight="1">
      <c r="A31" s="68" t="s">
        <v>78</v>
      </c>
      <c r="B31" s="69">
        <v>0</v>
      </c>
      <c r="C31" s="69">
        <v>0.2</v>
      </c>
      <c r="D31" s="70">
        <f t="shared" si="2"/>
        <v>0</v>
      </c>
      <c r="E31" s="69">
        <v>0</v>
      </c>
      <c r="F31" s="71">
        <f t="shared" si="3"/>
        <v>0</v>
      </c>
      <c r="I31" s="83"/>
    </row>
    <row r="32" spans="1:10" ht="12.75" customHeight="1">
      <c r="A32" s="72" t="s">
        <v>79</v>
      </c>
      <c r="B32" s="76">
        <v>0</v>
      </c>
      <c r="C32" s="76">
        <v>650</v>
      </c>
      <c r="D32" s="80">
        <f t="shared" si="2"/>
        <v>0</v>
      </c>
      <c r="E32" s="76">
        <v>3</v>
      </c>
      <c r="F32" s="75">
        <f t="shared" si="3"/>
        <v>0</v>
      </c>
      <c r="I32" s="83"/>
    </row>
    <row r="33" spans="1:9" ht="12.75" customHeight="1">
      <c r="A33" s="68" t="s">
        <v>80</v>
      </c>
      <c r="B33" s="69">
        <v>0</v>
      </c>
      <c r="C33" s="69">
        <v>45</v>
      </c>
      <c r="D33" s="70">
        <f t="shared" si="2"/>
        <v>0</v>
      </c>
      <c r="E33" s="69">
        <v>0</v>
      </c>
      <c r="F33" s="71">
        <f t="shared" si="3"/>
        <v>0</v>
      </c>
      <c r="I33" s="83"/>
    </row>
    <row r="34" spans="1:9" ht="12.75" customHeight="1">
      <c r="A34" s="72" t="s">
        <v>81</v>
      </c>
      <c r="B34" s="76">
        <v>1</v>
      </c>
      <c r="C34" s="76">
        <v>12</v>
      </c>
      <c r="D34" s="80">
        <f t="shared" si="2"/>
        <v>1</v>
      </c>
      <c r="E34" s="76">
        <v>0.25</v>
      </c>
      <c r="F34" s="75">
        <f t="shared" si="3"/>
        <v>0.25</v>
      </c>
      <c r="I34" s="83"/>
    </row>
    <row r="35" spans="1:9" ht="12.75" customHeight="1">
      <c r="A35" s="68" t="s">
        <v>62</v>
      </c>
      <c r="B35" s="69">
        <v>0</v>
      </c>
      <c r="C35" s="69">
        <v>0</v>
      </c>
      <c r="D35" s="70">
        <f t="shared" si="2"/>
        <v>0</v>
      </c>
      <c r="E35" s="69">
        <v>0</v>
      </c>
      <c r="F35" s="71">
        <f t="shared" si="3"/>
        <v>0</v>
      </c>
    </row>
    <row r="36" spans="1:9" ht="12.75" customHeight="1">
      <c r="A36" s="64" t="s">
        <v>82</v>
      </c>
      <c r="B36" s="77"/>
      <c r="C36" s="77"/>
      <c r="D36" s="65"/>
      <c r="E36" s="77"/>
      <c r="F36" s="78"/>
    </row>
    <row r="37" spans="1:9" ht="12.75" customHeight="1">
      <c r="A37" s="79" t="s">
        <v>62</v>
      </c>
      <c r="B37" s="76">
        <v>0</v>
      </c>
      <c r="C37" s="76">
        <v>0</v>
      </c>
      <c r="D37" s="80">
        <f>ROUND(B37*C37/12,2)</f>
        <v>0</v>
      </c>
      <c r="E37" s="76">
        <v>0</v>
      </c>
      <c r="F37" s="81">
        <f>PRODUCT(D37,E37)</f>
        <v>0</v>
      </c>
    </row>
    <row r="38" spans="1:9" ht="12.75" customHeight="1">
      <c r="A38" s="68" t="s">
        <v>62</v>
      </c>
      <c r="B38" s="69">
        <v>0</v>
      </c>
      <c r="C38" s="69">
        <v>0</v>
      </c>
      <c r="D38" s="84">
        <f>ROUND(B38*C38/12,2)</f>
        <v>0</v>
      </c>
      <c r="E38" s="69">
        <v>0</v>
      </c>
      <c r="F38" s="85">
        <f>PRODUCT(D38,E38)</f>
        <v>0</v>
      </c>
    </row>
    <row r="39" spans="1:9" s="82" customFormat="1" ht="30.6" customHeight="1">
      <c r="A39" s="86" t="s">
        <v>83</v>
      </c>
      <c r="B39" s="87"/>
      <c r="C39" s="88"/>
      <c r="D39" s="88"/>
      <c r="E39" s="89"/>
      <c r="F39" s="90">
        <f>SUM(F6:F38)</f>
        <v>32.97</v>
      </c>
    </row>
    <row r="40" spans="1:9" ht="29.1" customHeight="1">
      <c r="A40" s="91" t="s">
        <v>84</v>
      </c>
      <c r="B40" s="92"/>
      <c r="C40" s="92"/>
      <c r="D40" s="92"/>
      <c r="E40" s="92"/>
      <c r="F40" s="93">
        <v>140</v>
      </c>
    </row>
    <row r="41" spans="1:9" ht="28.35" customHeight="1">
      <c r="A41" s="94" t="s">
        <v>85</v>
      </c>
      <c r="B41" s="95"/>
      <c r="C41" s="95"/>
      <c r="D41" s="95"/>
      <c r="E41" s="96"/>
      <c r="F41" s="97">
        <f>F39*1.33</f>
        <v>43.850099999999998</v>
      </c>
      <c r="G41" s="37"/>
      <c r="H41" s="37"/>
      <c r="I41" s="37"/>
    </row>
    <row r="42" spans="1:9" ht="26.1" customHeight="1">
      <c r="A42" s="98" t="s">
        <v>86</v>
      </c>
      <c r="B42" s="99"/>
      <c r="C42" s="99"/>
      <c r="D42" s="99"/>
      <c r="E42" s="99"/>
      <c r="F42" s="100"/>
      <c r="G42" s="37"/>
      <c r="H42" s="37"/>
      <c r="I42" s="37"/>
    </row>
    <row r="43" spans="1:9" ht="25.35" customHeight="1">
      <c r="A43" s="101" t="s">
        <v>87</v>
      </c>
      <c r="B43" s="93">
        <v>25</v>
      </c>
      <c r="C43" s="102" t="s">
        <v>88</v>
      </c>
      <c r="D43" s="103"/>
      <c r="E43" s="103"/>
      <c r="F43" s="104"/>
    </row>
    <row r="44" spans="1:9" s="99" customFormat="1" ht="35.85" customHeight="1">
      <c r="A44" s="105" t="s">
        <v>89</v>
      </c>
      <c r="B44" s="106" t="s">
        <v>90</v>
      </c>
      <c r="C44" s="107" t="s">
        <v>43</v>
      </c>
      <c r="D44" s="106" t="s">
        <v>91</v>
      </c>
      <c r="E44" s="108" t="s">
        <v>92</v>
      </c>
      <c r="F44" s="109"/>
      <c r="G44" s="110"/>
      <c r="H44" s="110"/>
    </row>
    <row r="45" spans="1:9" ht="26.85" customHeight="1">
      <c r="A45" s="111" t="s">
        <v>93</v>
      </c>
      <c r="B45" s="112"/>
      <c r="C45" s="112"/>
      <c r="D45" s="113"/>
      <c r="E45" s="114">
        <f>ROUND(($F$40*(B$43/100))/$F$39,1)</f>
        <v>1.1000000000000001</v>
      </c>
      <c r="G45" s="37"/>
      <c r="H45" s="37"/>
      <c r="I45" s="37"/>
    </row>
    <row r="46" spans="1:9" ht="29.1" customHeight="1">
      <c r="A46" s="115" t="s">
        <v>94</v>
      </c>
      <c r="B46" s="116">
        <v>0</v>
      </c>
      <c r="C46" s="116">
        <v>96</v>
      </c>
      <c r="D46" s="117">
        <f>ROUND(B46*C46/12,2)</f>
        <v>0</v>
      </c>
      <c r="E46" s="114">
        <f>IF(($F$40*(B$43/100))/($F$39-$D$46)&gt;0,ROUND(($F$40*(B$43/100))/($F$39-$D$46),1),"sonsuz")</f>
        <v>1.1000000000000001</v>
      </c>
      <c r="F46" s="118"/>
    </row>
    <row r="47" spans="1:9" s="37" customFormat="1" ht="27.6" customHeight="1">
      <c r="A47" s="119" t="s">
        <v>95</v>
      </c>
      <c r="B47" s="120"/>
      <c r="C47" s="93">
        <v>90</v>
      </c>
      <c r="D47" s="121"/>
      <c r="E47" s="122"/>
      <c r="F47" s="82"/>
    </row>
    <row r="48" spans="1:9" ht="12.75" customHeight="1">
      <c r="A48" s="123" t="s">
        <v>96</v>
      </c>
      <c r="B48" s="124" t="s">
        <v>23</v>
      </c>
      <c r="C48" s="125">
        <f t="shared" ref="C48:C62" si="4">C$47</f>
        <v>90</v>
      </c>
      <c r="D48" s="126">
        <f>ROUND(C48/2.42,2)</f>
        <v>37.19</v>
      </c>
      <c r="E48" s="127" t="str">
        <f t="shared" ref="E48:E62" si="5">IF(($F$40*(B$43/100))/($F$39-$D48)&gt;0,ROUND(($F$40*(B$43/100))/($F$39-$D48),1),"sonsuz")</f>
        <v>sonsuz</v>
      </c>
      <c r="F48" s="128"/>
    </row>
    <row r="49" spans="1:6" ht="12.75" customHeight="1">
      <c r="A49" s="129" t="s">
        <v>97</v>
      </c>
      <c r="B49" s="130" t="s">
        <v>25</v>
      </c>
      <c r="C49" s="131">
        <f t="shared" si="4"/>
        <v>90</v>
      </c>
      <c r="D49" s="132">
        <f>ROUND(C49/3.23,2)</f>
        <v>27.86</v>
      </c>
      <c r="E49" s="133">
        <f t="shared" si="5"/>
        <v>6.8</v>
      </c>
      <c r="F49" s="128"/>
    </row>
    <row r="50" spans="1:6" ht="12.75" customHeight="1">
      <c r="A50" s="134" t="s">
        <v>98</v>
      </c>
      <c r="B50" s="135" t="s">
        <v>28</v>
      </c>
      <c r="C50" s="136">
        <f t="shared" si="4"/>
        <v>90</v>
      </c>
      <c r="D50" s="137">
        <f>ROUND(C50/7.89,2)</f>
        <v>11.41</v>
      </c>
      <c r="E50" s="138">
        <f t="shared" si="5"/>
        <v>1.6</v>
      </c>
      <c r="F50" s="128"/>
    </row>
    <row r="51" spans="1:6" ht="12.75" customHeight="1">
      <c r="A51" s="139" t="s">
        <v>99</v>
      </c>
      <c r="B51" s="140" t="s">
        <v>23</v>
      </c>
      <c r="C51" s="141">
        <f t="shared" si="4"/>
        <v>90</v>
      </c>
      <c r="D51" s="142">
        <f>ROUND(C51/2.34,2)</f>
        <v>38.46</v>
      </c>
      <c r="E51" s="127" t="str">
        <f t="shared" si="5"/>
        <v>sonsuz</v>
      </c>
      <c r="F51" s="128"/>
    </row>
    <row r="52" spans="1:6" ht="12.75" customHeight="1">
      <c r="A52" s="139" t="s">
        <v>100</v>
      </c>
      <c r="B52" s="140" t="s">
        <v>25</v>
      </c>
      <c r="C52" s="141">
        <f t="shared" si="4"/>
        <v>90</v>
      </c>
      <c r="D52" s="142">
        <f>ROUND(C52/3.24,2)</f>
        <v>27.78</v>
      </c>
      <c r="E52" s="133">
        <f t="shared" si="5"/>
        <v>6.7</v>
      </c>
      <c r="F52" s="128"/>
    </row>
    <row r="53" spans="1:6" ht="12.75" customHeight="1">
      <c r="A53" s="139" t="s">
        <v>101</v>
      </c>
      <c r="B53" s="140" t="s">
        <v>28</v>
      </c>
      <c r="C53" s="141">
        <f t="shared" si="4"/>
        <v>90</v>
      </c>
      <c r="D53" s="142">
        <f>ROUND(C53/8.33,2)</f>
        <v>10.8</v>
      </c>
      <c r="E53" s="138">
        <f t="shared" si="5"/>
        <v>1.6</v>
      </c>
      <c r="F53" s="128"/>
    </row>
    <row r="54" spans="1:6" ht="12.75" customHeight="1">
      <c r="A54" s="123" t="s">
        <v>102</v>
      </c>
      <c r="B54" s="124" t="s">
        <v>23</v>
      </c>
      <c r="C54" s="125">
        <f t="shared" si="4"/>
        <v>90</v>
      </c>
      <c r="D54" s="126">
        <f>ROUND(C54/2.53,2)</f>
        <v>35.57</v>
      </c>
      <c r="E54" s="127" t="str">
        <f t="shared" si="5"/>
        <v>sonsuz</v>
      </c>
      <c r="F54" s="128"/>
    </row>
    <row r="55" spans="1:6" ht="12.75" customHeight="1">
      <c r="A55" s="129" t="s">
        <v>103</v>
      </c>
      <c r="B55" s="130" t="s">
        <v>25</v>
      </c>
      <c r="C55" s="131">
        <f t="shared" si="4"/>
        <v>90</v>
      </c>
      <c r="D55" s="132">
        <f>ROUND(C55/3.97,2)</f>
        <v>22.67</v>
      </c>
      <c r="E55" s="133">
        <f t="shared" si="5"/>
        <v>3.4</v>
      </c>
      <c r="F55" s="128"/>
    </row>
    <row r="56" spans="1:6" ht="12.75" customHeight="1">
      <c r="A56" s="134" t="s">
        <v>104</v>
      </c>
      <c r="B56" s="135" t="s">
        <v>28</v>
      </c>
      <c r="C56" s="136">
        <f t="shared" si="4"/>
        <v>90</v>
      </c>
      <c r="D56" s="137">
        <f>ROUND(C56/11.32,2)</f>
        <v>7.95</v>
      </c>
      <c r="E56" s="138">
        <f t="shared" si="5"/>
        <v>1.4</v>
      </c>
      <c r="F56" s="128"/>
    </row>
    <row r="57" spans="1:6" ht="12.75" customHeight="1">
      <c r="A57" s="139" t="s">
        <v>105</v>
      </c>
      <c r="B57" s="140" t="s">
        <v>23</v>
      </c>
      <c r="C57" s="141">
        <f t="shared" si="4"/>
        <v>90</v>
      </c>
      <c r="D57" s="142">
        <f>ROUND(C57/2.46,2)</f>
        <v>36.590000000000003</v>
      </c>
      <c r="E57" s="127" t="str">
        <f t="shared" si="5"/>
        <v>sonsuz</v>
      </c>
      <c r="F57" s="128"/>
    </row>
    <row r="58" spans="1:6" ht="12.75" customHeight="1">
      <c r="A58" s="139" t="s">
        <v>106</v>
      </c>
      <c r="B58" s="140" t="s">
        <v>25</v>
      </c>
      <c r="C58" s="141">
        <f t="shared" si="4"/>
        <v>90</v>
      </c>
      <c r="D58" s="142">
        <f>ROUND(C58/3.4,2)</f>
        <v>26.47</v>
      </c>
      <c r="E58" s="133">
        <f t="shared" si="5"/>
        <v>5.4</v>
      </c>
      <c r="F58" s="128"/>
    </row>
    <row r="59" spans="1:6" ht="12.75" customHeight="1">
      <c r="A59" s="139" t="s">
        <v>106</v>
      </c>
      <c r="B59" s="140" t="s">
        <v>28</v>
      </c>
      <c r="C59" s="141">
        <f t="shared" si="4"/>
        <v>90</v>
      </c>
      <c r="D59" s="142">
        <f>ROUND(C59/10.26,2)</f>
        <v>8.77</v>
      </c>
      <c r="E59" s="138">
        <f t="shared" si="5"/>
        <v>1.4</v>
      </c>
      <c r="F59" s="128"/>
    </row>
    <row r="60" spans="1:6" ht="12.75" customHeight="1">
      <c r="A60" s="123" t="s">
        <v>107</v>
      </c>
      <c r="B60" s="124" t="s">
        <v>23</v>
      </c>
      <c r="C60" s="125">
        <f t="shared" si="4"/>
        <v>90</v>
      </c>
      <c r="D60" s="126">
        <f>ROUND(C60/3.56,2)</f>
        <v>25.28</v>
      </c>
      <c r="E60" s="127">
        <f t="shared" si="5"/>
        <v>4.5999999999999996</v>
      </c>
    </row>
    <row r="61" spans="1:6" ht="12.75" customHeight="1">
      <c r="A61" s="129" t="s">
        <v>108</v>
      </c>
      <c r="B61" s="130" t="s">
        <v>25</v>
      </c>
      <c r="C61" s="131">
        <f t="shared" si="4"/>
        <v>90</v>
      </c>
      <c r="D61" s="132">
        <f>ROUND(C61/4.96,2)</f>
        <v>18.149999999999999</v>
      </c>
      <c r="E61" s="133">
        <f t="shared" si="5"/>
        <v>2.4</v>
      </c>
    </row>
    <row r="62" spans="1:6" ht="12.75" customHeight="1">
      <c r="A62" s="134" t="s">
        <v>109</v>
      </c>
      <c r="B62" s="135" t="s">
        <v>28</v>
      </c>
      <c r="C62" s="136">
        <f t="shared" si="4"/>
        <v>90</v>
      </c>
      <c r="D62" s="137">
        <f>ROUND(C62/13.19,2)</f>
        <v>6.82</v>
      </c>
      <c r="E62" s="138">
        <f t="shared" si="5"/>
        <v>1.3</v>
      </c>
    </row>
    <row r="63" spans="1:6" ht="14.1" customHeight="1">
      <c r="A63" s="20" t="s">
        <v>110</v>
      </c>
      <c r="C63" s="143"/>
      <c r="D63" s="128"/>
      <c r="E63" s="144"/>
    </row>
    <row r="64" spans="1:6" ht="14.1" customHeight="1">
      <c r="A64" s="20"/>
      <c r="C64" s="143"/>
      <c r="D64" s="128"/>
      <c r="E64" s="144"/>
    </row>
    <row r="65" spans="1:7" ht="12.75" customHeight="1">
      <c r="A65" s="145" t="s">
        <v>111</v>
      </c>
      <c r="B65" s="145"/>
      <c r="C65" s="146"/>
      <c r="D65" s="147"/>
      <c r="E65" s="148"/>
      <c r="F65" s="145"/>
      <c r="G65" s="16"/>
    </row>
    <row r="66" spans="1:7" ht="12.75" customHeight="1">
      <c r="A66" s="145" t="s">
        <v>112</v>
      </c>
      <c r="B66" s="145"/>
      <c r="C66" s="146"/>
      <c r="D66" s="147"/>
      <c r="E66" s="148"/>
      <c r="F66" s="145"/>
      <c r="G66" s="16"/>
    </row>
    <row r="67" spans="1:7" ht="12.75" customHeight="1">
      <c r="A67" s="145" t="s">
        <v>113</v>
      </c>
      <c r="B67" s="145"/>
      <c r="C67" s="146"/>
      <c r="D67" s="147"/>
      <c r="E67" s="148"/>
      <c r="F67" s="145"/>
      <c r="G67" s="16"/>
    </row>
    <row r="68" spans="1:7" ht="12.75" customHeight="1">
      <c r="A68" s="145"/>
      <c r="B68" s="149"/>
      <c r="C68" s="149"/>
      <c r="D68" s="149"/>
      <c r="E68" s="149"/>
      <c r="F68" s="149"/>
      <c r="G68" s="16"/>
    </row>
    <row r="69" spans="1:7" ht="12.75" customHeight="1">
      <c r="A69" s="150" t="s">
        <v>114</v>
      </c>
      <c r="B69" s="149"/>
      <c r="C69" s="149"/>
      <c r="D69" s="149"/>
      <c r="E69" s="149"/>
      <c r="F69" s="149"/>
      <c r="G69" s="16"/>
    </row>
    <row r="70" spans="1:7" ht="15.6" customHeight="1">
      <c r="A70" s="145" t="s">
        <v>115</v>
      </c>
      <c r="B70" s="149"/>
      <c r="C70" s="149"/>
      <c r="D70" s="149"/>
      <c r="E70" s="149"/>
      <c r="F70" s="149"/>
      <c r="G70" s="16"/>
    </row>
    <row r="71" spans="1:7" ht="12.75" customHeight="1">
      <c r="A71" s="151" t="s">
        <v>116</v>
      </c>
      <c r="B71" s="152"/>
      <c r="C71" s="152"/>
      <c r="D71" s="152"/>
      <c r="E71" s="152"/>
      <c r="F71" s="152"/>
      <c r="G71" s="153"/>
    </row>
    <row r="72" spans="1:7" ht="12.75" customHeight="1">
      <c r="A72" s="154" t="s">
        <v>117</v>
      </c>
      <c r="B72" s="152"/>
      <c r="C72" s="152"/>
      <c r="D72" s="152"/>
      <c r="E72" s="152"/>
      <c r="F72" s="152"/>
      <c r="G72" s="153"/>
    </row>
    <row r="73" spans="1:7" ht="18.600000000000001" customHeight="1">
      <c r="A73" s="154" t="s">
        <v>118</v>
      </c>
      <c r="B73" s="152"/>
      <c r="C73" s="152"/>
      <c r="D73" s="152"/>
      <c r="E73" s="152"/>
      <c r="F73" s="152"/>
      <c r="G73" s="153"/>
    </row>
    <row r="74" spans="1:7" ht="9" customHeight="1"/>
    <row r="102" spans="1:6" ht="12.75" customHeight="1">
      <c r="A102" s="155" t="s">
        <v>119</v>
      </c>
      <c r="B102" s="156"/>
      <c r="C102" s="156"/>
      <c r="D102" s="156"/>
      <c r="E102" s="156"/>
      <c r="F102" s="156"/>
    </row>
  </sheetData>
  <sheetProtection sheet="1"/>
  <mergeCells count="1">
    <mergeCell ref="A4:F4"/>
  </mergeCells>
  <phoneticPr fontId="32" type="noConversion"/>
  <pageMargins left="0.78749999999999998" right="0.78749999999999998" top="1.0249999999999999" bottom="1.0249999999999999" header="0.78749999999999998" footer="0.78749999999999998"/>
  <pageSetup paperSize="9" firstPageNumber="0" orientation="portrait" horizontalDpi="300" verticalDpi="300"/>
  <headerFooter alignWithMargins="0">
    <oddHeader>&amp;C&amp;A</oddHeader>
    <oddFooter>&amp;CSeite &amp;P</oddFooter>
  </headerFooter>
  <drawing r:id="rId1"/>
</worksheet>
</file>

<file path=xl/worksheets/sheet3.xml><?xml version="1.0" encoding="utf-8"?>
<worksheet xmlns="http://schemas.openxmlformats.org/spreadsheetml/2006/main" xmlns:r="http://schemas.openxmlformats.org/officeDocument/2006/relationships">
  <dimension ref="A1:F117"/>
  <sheetViews>
    <sheetView workbookViewId="0"/>
  </sheetViews>
  <sheetFormatPr defaultColWidth="11.5703125" defaultRowHeight="15"/>
  <cols>
    <col min="1" max="1" width="126" style="157" customWidth="1"/>
    <col min="2" max="16384" width="11.5703125" style="158"/>
  </cols>
  <sheetData>
    <row r="1" spans="1:1" ht="12.75" customHeight="1">
      <c r="A1" s="159"/>
    </row>
    <row r="2" spans="1:1" ht="12.75" customHeight="1">
      <c r="A2" s="159"/>
    </row>
    <row r="3" spans="1:1" ht="16.350000000000001" customHeight="1">
      <c r="A3" s="160" t="s">
        <v>120</v>
      </c>
    </row>
    <row r="4" spans="1:1" s="162" customFormat="1">
      <c r="A4" s="161"/>
    </row>
    <row r="5" spans="1:1" s="162" customFormat="1">
      <c r="A5" s="161"/>
    </row>
    <row r="6" spans="1:1" s="162" customFormat="1">
      <c r="A6" s="163"/>
    </row>
    <row r="7" spans="1:1">
      <c r="A7" s="164" t="s">
        <v>121</v>
      </c>
    </row>
    <row r="8" spans="1:1">
      <c r="A8" s="164"/>
    </row>
    <row r="9" spans="1:1" ht="15.75">
      <c r="A9" s="165" t="s">
        <v>122</v>
      </c>
    </row>
    <row r="10" spans="1:1" ht="15.75">
      <c r="A10" s="165" t="s">
        <v>123</v>
      </c>
    </row>
    <row r="11" spans="1:1" ht="15.75">
      <c r="A11" s="165" t="s">
        <v>124</v>
      </c>
    </row>
    <row r="12" spans="1:1" ht="15.75">
      <c r="A12" s="165" t="s">
        <v>125</v>
      </c>
    </row>
    <row r="13" spans="1:1">
      <c r="A13" s="164" t="s">
        <v>126</v>
      </c>
    </row>
    <row r="14" spans="1:1" ht="18">
      <c r="A14" s="166" t="s">
        <v>127</v>
      </c>
    </row>
    <row r="15" spans="1:1" ht="15.75">
      <c r="A15" s="167"/>
    </row>
    <row r="16" spans="1:1" s="169" customFormat="1" ht="19.5">
      <c r="A16" s="168" t="s">
        <v>128</v>
      </c>
    </row>
    <row r="18" spans="1:1" ht="18">
      <c r="A18" s="170" t="s">
        <v>129</v>
      </c>
    </row>
    <row r="20" spans="1:1" ht="18">
      <c r="A20" s="170" t="s">
        <v>130</v>
      </c>
    </row>
    <row r="21" spans="1:1">
      <c r="A21" s="164" t="s">
        <v>131</v>
      </c>
    </row>
    <row r="23" spans="1:1" ht="18">
      <c r="A23" s="170" t="s">
        <v>132</v>
      </c>
    </row>
    <row r="24" spans="1:1">
      <c r="A24" s="164" t="s">
        <v>133</v>
      </c>
    </row>
    <row r="25" spans="1:1">
      <c r="A25" s="164" t="s">
        <v>134</v>
      </c>
    </row>
    <row r="26" spans="1:1">
      <c r="A26" s="164" t="s">
        <v>135</v>
      </c>
    </row>
    <row r="28" spans="1:1" s="171" customFormat="1" ht="18">
      <c r="A28" s="170" t="s">
        <v>136</v>
      </c>
    </row>
    <row r="30" spans="1:1" ht="18">
      <c r="A30" s="170" t="s">
        <v>137</v>
      </c>
    </row>
    <row r="31" spans="1:1">
      <c r="A31" s="164" t="s">
        <v>138</v>
      </c>
    </row>
    <row r="32" spans="1:1">
      <c r="A32" s="164" t="s">
        <v>139</v>
      </c>
    </row>
    <row r="33" spans="1:1">
      <c r="A33" s="164" t="s">
        <v>140</v>
      </c>
    </row>
    <row r="34" spans="1:1">
      <c r="A34" s="164" t="s">
        <v>141</v>
      </c>
    </row>
    <row r="35" spans="1:1">
      <c r="A35" s="164" t="s">
        <v>142</v>
      </c>
    </row>
    <row r="37" spans="1:1" ht="18">
      <c r="A37" s="170" t="s">
        <v>143</v>
      </c>
    </row>
    <row r="38" spans="1:1">
      <c r="A38" s="164" t="s">
        <v>144</v>
      </c>
    </row>
    <row r="39" spans="1:1">
      <c r="A39" s="164" t="s">
        <v>145</v>
      </c>
    </row>
    <row r="40" spans="1:1" ht="30">
      <c r="A40" s="164" t="s">
        <v>146</v>
      </c>
    </row>
    <row r="42" spans="1:1" ht="18">
      <c r="A42" s="170" t="s">
        <v>147</v>
      </c>
    </row>
    <row r="43" spans="1:1">
      <c r="A43" s="164" t="s">
        <v>148</v>
      </c>
    </row>
    <row r="44" spans="1:1">
      <c r="A44" s="164" t="s">
        <v>149</v>
      </c>
    </row>
    <row r="46" spans="1:1" ht="18">
      <c r="A46" s="170" t="s">
        <v>150</v>
      </c>
    </row>
    <row r="47" spans="1:1" ht="30">
      <c r="A47" s="164" t="s">
        <v>151</v>
      </c>
    </row>
    <row r="49" spans="1:1" ht="18">
      <c r="A49" s="170" t="s">
        <v>152</v>
      </c>
    </row>
    <row r="50" spans="1:1" ht="30">
      <c r="A50" s="164" t="s">
        <v>153</v>
      </c>
    </row>
    <row r="52" spans="1:1">
      <c r="A52" s="164" t="s">
        <v>154</v>
      </c>
    </row>
    <row r="53" spans="1:1" ht="30">
      <c r="A53" s="164" t="s">
        <v>155</v>
      </c>
    </row>
    <row r="55" spans="1:1" ht="18">
      <c r="A55" s="164" t="s">
        <v>156</v>
      </c>
    </row>
    <row r="57" spans="1:1">
      <c r="A57" s="164" t="s">
        <v>157</v>
      </c>
    </row>
    <row r="59" spans="1:1" s="173" customFormat="1">
      <c r="A59" s="172" t="s">
        <v>158</v>
      </c>
    </row>
    <row r="60" spans="1:1" s="173" customFormat="1">
      <c r="A60" s="172" t="s">
        <v>159</v>
      </c>
    </row>
    <row r="61" spans="1:1" s="173" customFormat="1">
      <c r="A61" s="172" t="s">
        <v>160</v>
      </c>
    </row>
    <row r="62" spans="1:1" s="173" customFormat="1">
      <c r="A62" s="172" t="s">
        <v>161</v>
      </c>
    </row>
    <row r="63" spans="1:1" s="173" customFormat="1">
      <c r="A63" s="172" t="s">
        <v>162</v>
      </c>
    </row>
    <row r="64" spans="1:1" s="173" customFormat="1">
      <c r="A64" s="172" t="s">
        <v>163</v>
      </c>
    </row>
    <row r="66" spans="1:1" ht="15.75">
      <c r="A66" s="164" t="s">
        <v>164</v>
      </c>
    </row>
    <row r="67" spans="1:1">
      <c r="A67" s="164" t="s">
        <v>165</v>
      </c>
    </row>
    <row r="68" spans="1:1" ht="18">
      <c r="A68" s="164" t="s">
        <v>166</v>
      </c>
    </row>
    <row r="69" spans="1:1" ht="16.5">
      <c r="A69" s="174" t="s">
        <v>167</v>
      </c>
    </row>
    <row r="70" spans="1:1">
      <c r="A70" s="164" t="s">
        <v>168</v>
      </c>
    </row>
    <row r="71" spans="1:1" ht="18">
      <c r="A71" s="164" t="s">
        <v>169</v>
      </c>
    </row>
    <row r="72" spans="1:1">
      <c r="A72" s="164"/>
    </row>
    <row r="73" spans="1:1">
      <c r="A73" s="164" t="s">
        <v>170</v>
      </c>
    </row>
    <row r="74" spans="1:1">
      <c r="A74" s="164" t="s">
        <v>171</v>
      </c>
    </row>
    <row r="75" spans="1:1">
      <c r="A75" s="164"/>
    </row>
    <row r="76" spans="1:1" s="176" customFormat="1" ht="18">
      <c r="A76" s="175" t="s">
        <v>172</v>
      </c>
    </row>
    <row r="77" spans="1:1">
      <c r="A77" s="164"/>
    </row>
    <row r="78" spans="1:1">
      <c r="A78" s="164" t="s">
        <v>173</v>
      </c>
    </row>
    <row r="79" spans="1:1">
      <c r="A79" s="164" t="s">
        <v>174</v>
      </c>
    </row>
    <row r="80" spans="1:1" ht="31.5">
      <c r="A80" s="177" t="s">
        <v>175</v>
      </c>
    </row>
    <row r="82" spans="1:1">
      <c r="A82" s="164" t="s">
        <v>176</v>
      </c>
    </row>
    <row r="83" spans="1:1" ht="30">
      <c r="A83" s="164" t="s">
        <v>177</v>
      </c>
    </row>
    <row r="84" spans="1:1" ht="45">
      <c r="A84" s="164" t="s">
        <v>178</v>
      </c>
    </row>
    <row r="85" spans="1:1">
      <c r="A85" s="164" t="s">
        <v>179</v>
      </c>
    </row>
    <row r="86" spans="1:1">
      <c r="A86" s="164" t="s">
        <v>180</v>
      </c>
    </row>
    <row r="87" spans="1:1">
      <c r="A87" s="164" t="s">
        <v>181</v>
      </c>
    </row>
    <row r="88" spans="1:1">
      <c r="A88" s="164" t="s">
        <v>182</v>
      </c>
    </row>
    <row r="89" spans="1:1">
      <c r="A89" s="164" t="s">
        <v>183</v>
      </c>
    </row>
    <row r="91" spans="1:1" ht="30">
      <c r="A91" s="164" t="s">
        <v>184</v>
      </c>
    </row>
    <row r="92" spans="1:1">
      <c r="A92" s="164" t="s">
        <v>185</v>
      </c>
    </row>
    <row r="93" spans="1:1">
      <c r="A93" s="164" t="s">
        <v>181</v>
      </c>
    </row>
    <row r="94" spans="1:1">
      <c r="A94" s="164" t="s">
        <v>186</v>
      </c>
    </row>
    <row r="95" spans="1:1" ht="30">
      <c r="A95" s="164" t="s">
        <v>187</v>
      </c>
    </row>
    <row r="97" spans="1:6" ht="45">
      <c r="A97" s="164" t="s">
        <v>188</v>
      </c>
    </row>
    <row r="99" spans="1:6">
      <c r="A99" s="157" t="s">
        <v>189</v>
      </c>
    </row>
    <row r="100" spans="1:6">
      <c r="A100" s="157" t="s">
        <v>190</v>
      </c>
    </row>
    <row r="102" spans="1:6">
      <c r="A102" s="157" t="s">
        <v>191</v>
      </c>
    </row>
    <row r="104" spans="1:6" s="179" customFormat="1">
      <c r="A104" s="178" t="s">
        <v>192</v>
      </c>
    </row>
    <row r="106" spans="1:6" ht="19.5">
      <c r="A106" s="180" t="s">
        <v>193</v>
      </c>
      <c r="B106" s="181"/>
      <c r="C106" s="181"/>
      <c r="D106" s="181"/>
      <c r="E106" s="181"/>
      <c r="F106" s="182"/>
    </row>
    <row r="107" spans="1:6" ht="19.5">
      <c r="A107" s="183" t="s">
        <v>194</v>
      </c>
      <c r="B107" s="181"/>
      <c r="C107" s="181"/>
      <c r="D107" s="181"/>
      <c r="E107" s="181"/>
      <c r="F107" s="182"/>
    </row>
    <row r="108" spans="1:6" ht="19.5">
      <c r="A108" s="183" t="s">
        <v>195</v>
      </c>
      <c r="B108" s="181"/>
      <c r="C108" s="181"/>
      <c r="D108" s="181"/>
      <c r="E108" s="181"/>
      <c r="F108" s="182"/>
    </row>
    <row r="109" spans="1:6" ht="19.5">
      <c r="A109" s="183"/>
      <c r="B109" s="181"/>
      <c r="C109" s="181"/>
      <c r="D109" s="181"/>
      <c r="E109" s="181"/>
      <c r="F109" s="182"/>
    </row>
    <row r="110" spans="1:6" ht="19.5">
      <c r="A110" s="183" t="s">
        <v>196</v>
      </c>
      <c r="B110" s="181"/>
      <c r="C110" s="181"/>
      <c r="D110" s="181"/>
      <c r="E110" s="181"/>
      <c r="F110" s="182"/>
    </row>
    <row r="111" spans="1:6" ht="19.5">
      <c r="A111" s="183" t="s">
        <v>197</v>
      </c>
      <c r="B111" s="181"/>
      <c r="C111" s="181"/>
      <c r="D111" s="181"/>
      <c r="E111" s="181"/>
      <c r="F111" s="182"/>
    </row>
    <row r="112" spans="1:6" ht="19.5">
      <c r="A112" s="183" t="s">
        <v>198</v>
      </c>
      <c r="B112" s="182"/>
      <c r="C112" s="182"/>
      <c r="D112" s="182"/>
      <c r="E112" s="182"/>
      <c r="F112" s="182"/>
    </row>
    <row r="113" spans="1:1" s="185" customFormat="1" ht="15.75">
      <c r="A113" s="184" t="s">
        <v>199</v>
      </c>
    </row>
    <row r="114" spans="1:1" s="187" customFormat="1">
      <c r="A114" s="186" t="s">
        <v>200</v>
      </c>
    </row>
    <row r="115" spans="1:1" s="187" customFormat="1">
      <c r="A115" s="188" t="s">
        <v>201</v>
      </c>
    </row>
    <row r="116" spans="1:1">
      <c r="A116" s="189" t="s">
        <v>202</v>
      </c>
    </row>
    <row r="117" spans="1:1">
      <c r="A117" s="157" t="s">
        <v>203</v>
      </c>
    </row>
  </sheetData>
  <sheetProtection sheet="1"/>
  <phoneticPr fontId="32" type="noConversion"/>
  <hyperlinks>
    <hyperlink ref="A14" r:id="rId1"/>
  </hyperlinks>
  <pageMargins left="0.78749999999999998" right="0.78749999999999998" top="1.0249999999999999" bottom="1.0249999999999999" header="0.78749999999999998" footer="0.78749999999999998"/>
  <pageSetup paperSize="9" firstPageNumber="0" orientation="portrait" horizontalDpi="300" verticalDpi="300"/>
  <headerFooter alignWithMargins="0">
    <oddHeader>&amp;C&amp;A</oddHeader>
    <oddFooter>&amp;CSeite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Tabelle1</vt:lpstr>
      <vt:lpstr>Tabelle2</vt:lpstr>
      <vt:lpstr>Tabelle3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nero</dc:creator>
  <cp:lastModifiedBy>nero</cp:lastModifiedBy>
  <dcterms:created xsi:type="dcterms:W3CDTF">2013-08-01T11:03:51Z</dcterms:created>
  <dcterms:modified xsi:type="dcterms:W3CDTF">2013-08-01T11:03:59Z</dcterms:modified>
</cp:coreProperties>
</file>